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defaultThemeVersion="124226"/>
  <mc:AlternateContent xmlns:mc="http://schemas.openxmlformats.org/markup-compatibility/2006">
    <mc:Choice Requires="x15">
      <x15ac:absPath xmlns:x15ac="http://schemas.microsoft.com/office/spreadsheetml/2010/11/ac" url="\\172.16.40.66\Comercial\Atlántida\2023\PDF\01\Página Web\"/>
    </mc:Choice>
  </mc:AlternateContent>
  <xr:revisionPtr revIDLastSave="0" documentId="8_{B4825A0A-916C-4C76-8231-B4E4941C7B62}" xr6:coauthVersionLast="47" xr6:coauthVersionMax="47" xr10:uidLastSave="{00000000-0000-0000-0000-000000000000}"/>
  <workbookProtection workbookAlgorithmName="SHA-512" workbookHashValue="EA3ZNSpwIFc8G3ZW115RP/rgswdVCF6ObDuqMduDxq/tmEXbG1M2YGl2Gt11Ckng4Uo+1oLFFItXRFxibOP8Qg==" workbookSaltValue="InrJUvzqv21VSfbl1QeayA==" workbookSpinCount="100000" lockStructure="1"/>
  <bookViews>
    <workbookView xWindow="-110" yWindow="-110" windowWidth="19420" windowHeight="10300" tabRatio="719" firstSheet="9" activeTab="9" xr2:uid="{00000000-000D-0000-FFFF-FFFF00000000}"/>
  </bookViews>
  <sheets>
    <sheet name="Titu A" sheetId="19" state="hidden" r:id="rId1"/>
    <sheet name="Titu B" sheetId="34" state="hidden" r:id="rId2"/>
    <sheet name="Titu C" sheetId="35" state="hidden" r:id="rId3"/>
    <sheet name="Conyu A" sheetId="29" state="hidden" r:id="rId4"/>
    <sheet name="Conyu B" sheetId="36" state="hidden" r:id="rId5"/>
    <sheet name="Conyu C" sheetId="37" state="hidden" r:id="rId6"/>
    <sheet name="Depen A" sheetId="38" state="hidden" r:id="rId7"/>
    <sheet name="Depen B" sheetId="30" state="hidden" r:id="rId8"/>
    <sheet name="Depen C" sheetId="39" state="hidden" r:id="rId9"/>
    <sheet name="INTERMEDIARIO" sheetId="31" r:id="rId10"/>
    <sheet name="COTIZADOR" sheetId="32" r:id="rId11"/>
    <sheet name="OFERTA" sheetId="33" r:id="rId12"/>
    <sheet name="Condiciones" sheetId="40" state="hidden" r:id="rId13"/>
    <sheet name="ANEXO No.1" sheetId="20" state="hidden" r:id="rId14"/>
    <sheet name="ANEXO No.2" sheetId="28" state="hidden" r:id="rId15"/>
    <sheet name="SINTESIS" sheetId="12" state="hidden" r:id="rId16"/>
    <sheet name="SA2013" sheetId="2" state="hidden" r:id="rId17"/>
    <sheet name="SA2014" sheetId="7" state="hidden" r:id="rId18"/>
    <sheet name="SA2015" sheetId="9" state="hidden" r:id="rId19"/>
    <sheet name="SA2016" sheetId="26" state="hidden" r:id="rId20"/>
    <sheet name="SA2017" sheetId="27" state="hidden" r:id="rId21"/>
    <sheet name="PYS2013" sheetId="3" state="hidden" r:id="rId22"/>
    <sheet name="PYS2014" sheetId="5" state="hidden" r:id="rId23"/>
    <sheet name="PYS2015" sheetId="8" state="hidden" r:id="rId24"/>
    <sheet name="PYS2016" sheetId="18" state="hidden" r:id="rId25"/>
    <sheet name="PYS2017" sheetId="21" state="hidden" r:id="rId26"/>
    <sheet name="PV2013" sheetId="17" state="hidden" r:id="rId27"/>
    <sheet name="PV2014" sheetId="13" state="hidden" r:id="rId28"/>
    <sheet name="PV2015" sheetId="14" state="hidden" r:id="rId29"/>
  </sheets>
  <externalReferences>
    <externalReference r:id="rId30"/>
  </externalReferences>
  <definedNames>
    <definedName name="_xlnm.Print_Area" localSheetId="14">'ANEXO No.2'!$B$2:$G$76</definedName>
    <definedName name="_xlnm.Print_Area" localSheetId="3">'Conyu A'!$C$1:$I$34</definedName>
    <definedName name="_xlnm.Print_Area" localSheetId="4">'Conyu B'!$C$1:$I$34</definedName>
    <definedName name="_xlnm.Print_Area" localSheetId="5">'Conyu C'!$C$1:$I$34</definedName>
    <definedName name="_xlnm.Print_Area" localSheetId="6">'Depen A'!$C$1:$I$34</definedName>
    <definedName name="_xlnm.Print_Area" localSheetId="7">'Depen B'!$C$1:$I$34</definedName>
    <definedName name="_xlnm.Print_Area" localSheetId="8">'Depen C'!$C$1:$I$34</definedName>
    <definedName name="_xlnm.Print_Area" localSheetId="11">OFERTA!$A$1:$Q$59</definedName>
    <definedName name="_xlnm.Print_Area" localSheetId="0">'Titu A'!$C$1:$I$34</definedName>
    <definedName name="_xlnm.Print_Area" localSheetId="1">'Titu B'!$C$1:$I$34</definedName>
    <definedName name="_xlnm.Print_Area" localSheetId="2">'Titu C'!$C$1:$I$34</definedName>
    <definedName name="DatosExternos2" localSheetId="16">'SA2013'!$I$13:$CZ$15</definedName>
    <definedName name="DatosExternos2" localSheetId="17">'SA2014'!$I$13:$CZ$15</definedName>
    <definedName name="DatosExternos2" localSheetId="18">'SA2015'!$I$13:$CZ$15</definedName>
    <definedName name="DatosExternos2" localSheetId="19">'SA2016'!$I$13:$CZ$15</definedName>
    <definedName name="DatosExternos2" localSheetId="20">'SA2017'!$I$13:$CZ$15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33" l="1"/>
  <c r="B39" i="33"/>
  <c r="D24" i="29"/>
  <c r="H11" i="40" l="1"/>
  <c r="I11" i="40" s="1"/>
  <c r="H10" i="40"/>
  <c r="I10" i="40" s="1"/>
  <c r="T20" i="33"/>
  <c r="U20" i="33" s="1"/>
  <c r="T19" i="33"/>
  <c r="U19" i="33" s="1"/>
  <c r="H42" i="33"/>
  <c r="N42" i="33"/>
  <c r="K42" i="33"/>
  <c r="D24" i="39"/>
  <c r="D24" i="37"/>
  <c r="D24" i="35"/>
  <c r="D24" i="30"/>
  <c r="D24" i="36"/>
  <c r="D24" i="34"/>
  <c r="D24" i="38"/>
  <c r="D24" i="19"/>
  <c r="H15" i="33" s="1"/>
  <c r="N14" i="33"/>
  <c r="K14" i="33"/>
  <c r="H14" i="33"/>
  <c r="D11" i="40"/>
  <c r="D36" i="32"/>
  <c r="M2" i="32"/>
  <c r="H32" i="33" l="1"/>
  <c r="H23" i="33"/>
  <c r="I12" i="40"/>
  <c r="H17" i="33"/>
  <c r="H24" i="33"/>
  <c r="H28" i="33"/>
  <c r="H26" i="33"/>
  <c r="H37" i="33"/>
  <c r="H38" i="33"/>
  <c r="H16" i="33"/>
  <c r="H20" i="33"/>
  <c r="H29" i="33"/>
  <c r="H19" i="33"/>
  <c r="H25" i="33"/>
  <c r="H18" i="33"/>
  <c r="H33" i="33"/>
  <c r="H27" i="33"/>
  <c r="F9" i="40" l="1"/>
  <c r="B9" i="40"/>
  <c r="D9" i="40"/>
  <c r="H22" i="33" s="1"/>
  <c r="C9" i="40"/>
  <c r="E9" i="40"/>
  <c r="E22" i="40"/>
  <c r="B21" i="40"/>
  <c r="D22" i="40"/>
  <c r="H36" i="33" s="1"/>
  <c r="F16" i="40"/>
  <c r="C21" i="40"/>
  <c r="C22" i="40"/>
  <c r="E16" i="40"/>
  <c r="B22" i="40"/>
  <c r="D16" i="40"/>
  <c r="H30" i="33" s="1"/>
  <c r="E21" i="40"/>
  <c r="D21" i="40"/>
  <c r="H35" i="33" s="1"/>
  <c r="F21" i="40"/>
  <c r="F22" i="40"/>
  <c r="M3" i="32" l="1"/>
  <c r="D16" i="32" l="1"/>
  <c r="B29" i="40" s="1"/>
  <c r="H41" i="33"/>
  <c r="G46" i="33" l="1"/>
  <c r="H21" i="33"/>
  <c r="F11" i="40"/>
  <c r="E11" i="40"/>
  <c r="F5" i="40"/>
  <c r="E5" i="40"/>
  <c r="D5" i="40"/>
  <c r="C5" i="40"/>
  <c r="B5" i="40"/>
  <c r="D21" i="37" l="1"/>
  <c r="D21" i="36"/>
  <c r="D21" i="29"/>
  <c r="D21" i="35"/>
  <c r="D21" i="34"/>
  <c r="D21" i="19"/>
  <c r="E26" i="38"/>
  <c r="O16" i="39"/>
  <c r="H16" i="39" s="1"/>
  <c r="O15" i="39"/>
  <c r="G16" i="39" s="1"/>
  <c r="S42" i="39" s="1"/>
  <c r="N15" i="39"/>
  <c r="N16" i="39" s="1"/>
  <c r="H15" i="39" s="1"/>
  <c r="M15" i="39"/>
  <c r="G14" i="39" s="1"/>
  <c r="L15" i="39"/>
  <c r="L16" i="39" s="1"/>
  <c r="H13" i="39" s="1"/>
  <c r="K15" i="39"/>
  <c r="K16" i="39" s="1"/>
  <c r="H12" i="39" s="1"/>
  <c r="O14" i="39"/>
  <c r="F16" i="39" s="1"/>
  <c r="N14" i="39"/>
  <c r="F15" i="39" s="1"/>
  <c r="M14" i="39"/>
  <c r="F14" i="39" s="1"/>
  <c r="L14" i="39"/>
  <c r="F13" i="39" s="1"/>
  <c r="K14" i="39"/>
  <c r="F12" i="39" s="1"/>
  <c r="D14" i="39"/>
  <c r="R13" i="39"/>
  <c r="R14" i="39" s="1"/>
  <c r="R15" i="39" s="1"/>
  <c r="R16" i="39" s="1"/>
  <c r="R17" i="39" s="1"/>
  <c r="R18" i="39" s="1"/>
  <c r="R19" i="39" s="1"/>
  <c r="R21" i="39" s="1"/>
  <c r="R22" i="39" s="1"/>
  <c r="R23" i="39" s="1"/>
  <c r="R24" i="39" s="1"/>
  <c r="R25" i="39" s="1"/>
  <c r="R26" i="39" s="1"/>
  <c r="R27" i="39" s="1"/>
  <c r="R28" i="39" s="1"/>
  <c r="R29" i="39" s="1"/>
  <c r="R30" i="39" s="1"/>
  <c r="R31" i="39" s="1"/>
  <c r="R32" i="39" s="1"/>
  <c r="R33" i="39" s="1"/>
  <c r="R34" i="39" s="1"/>
  <c r="R35" i="39" s="1"/>
  <c r="R36" i="39" s="1"/>
  <c r="R37" i="39" s="1"/>
  <c r="R38" i="39" s="1"/>
  <c r="R39" i="39" s="1"/>
  <c r="R40" i="39" s="1"/>
  <c r="R41" i="39" s="1"/>
  <c r="R42" i="39" s="1"/>
  <c r="O13" i="39"/>
  <c r="E16" i="39" s="1"/>
  <c r="N13" i="39"/>
  <c r="E15" i="39" s="1"/>
  <c r="M13" i="39"/>
  <c r="E14" i="39" s="1"/>
  <c r="L13" i="39"/>
  <c r="E13" i="39" s="1"/>
  <c r="K13" i="39"/>
  <c r="D13" i="39"/>
  <c r="O12" i="39"/>
  <c r="D16" i="39" s="1"/>
  <c r="I16" i="39" s="1"/>
  <c r="N12" i="39"/>
  <c r="D15" i="39" s="1"/>
  <c r="M12" i="39"/>
  <c r="L12" i="39"/>
  <c r="K12" i="39"/>
  <c r="D12" i="39" s="1"/>
  <c r="E12" i="39"/>
  <c r="O16" i="38"/>
  <c r="H16" i="38" s="1"/>
  <c r="N16" i="38"/>
  <c r="H15" i="38" s="1"/>
  <c r="G16" i="38"/>
  <c r="S42" i="38" s="1"/>
  <c r="O15" i="38"/>
  <c r="N15" i="38"/>
  <c r="G15" i="38" s="1"/>
  <c r="M15" i="38"/>
  <c r="M16" i="38" s="1"/>
  <c r="H14" i="38" s="1"/>
  <c r="L15" i="38"/>
  <c r="L16" i="38" s="1"/>
  <c r="H13" i="38" s="1"/>
  <c r="K15" i="38"/>
  <c r="K16" i="38" s="1"/>
  <c r="H12" i="38" s="1"/>
  <c r="O14" i="38"/>
  <c r="F16" i="38" s="1"/>
  <c r="N14" i="38"/>
  <c r="F15" i="38" s="1"/>
  <c r="M14" i="38"/>
  <c r="F14" i="38" s="1"/>
  <c r="L14" i="38"/>
  <c r="K14" i="38"/>
  <c r="F12" i="38" s="1"/>
  <c r="R13" i="38"/>
  <c r="R14" i="38" s="1"/>
  <c r="R15" i="38" s="1"/>
  <c r="R16" i="38" s="1"/>
  <c r="R17" i="38" s="1"/>
  <c r="R18" i="38" s="1"/>
  <c r="R19" i="38" s="1"/>
  <c r="R21" i="38" s="1"/>
  <c r="R22" i="38" s="1"/>
  <c r="R23" i="38" s="1"/>
  <c r="R24" i="38" s="1"/>
  <c r="R25" i="38" s="1"/>
  <c r="R26" i="38" s="1"/>
  <c r="R27" i="38" s="1"/>
  <c r="R28" i="38" s="1"/>
  <c r="R29" i="38" s="1"/>
  <c r="R30" i="38" s="1"/>
  <c r="R31" i="38" s="1"/>
  <c r="R32" i="38" s="1"/>
  <c r="R33" i="38" s="1"/>
  <c r="R34" i="38" s="1"/>
  <c r="R35" i="38" s="1"/>
  <c r="R36" i="38" s="1"/>
  <c r="R37" i="38" s="1"/>
  <c r="R38" i="38" s="1"/>
  <c r="R39" i="38" s="1"/>
  <c r="R40" i="38" s="1"/>
  <c r="R41" i="38" s="1"/>
  <c r="R42" i="38" s="1"/>
  <c r="O13" i="38"/>
  <c r="E16" i="38" s="1"/>
  <c r="N13" i="38"/>
  <c r="E15" i="38" s="1"/>
  <c r="M13" i="38"/>
  <c r="E14" i="38" s="1"/>
  <c r="L13" i="38"/>
  <c r="E13" i="38" s="1"/>
  <c r="K13" i="38"/>
  <c r="F13" i="38"/>
  <c r="O12" i="38"/>
  <c r="D16" i="38" s="1"/>
  <c r="I16" i="38" s="1"/>
  <c r="N12" i="38"/>
  <c r="D15" i="38" s="1"/>
  <c r="M12" i="38"/>
  <c r="D14" i="38" s="1"/>
  <c r="L12" i="38"/>
  <c r="D13" i="38" s="1"/>
  <c r="K12" i="38"/>
  <c r="D12" i="38" s="1"/>
  <c r="G12" i="38"/>
  <c r="E12" i="38"/>
  <c r="N15" i="33"/>
  <c r="N23" i="33" s="1"/>
  <c r="K15" i="33"/>
  <c r="K23" i="33" s="1"/>
  <c r="O16" i="37"/>
  <c r="L16" i="37"/>
  <c r="H13" i="37" s="1"/>
  <c r="H16" i="37"/>
  <c r="G16" i="37"/>
  <c r="S42" i="37" s="1"/>
  <c r="O15" i="37"/>
  <c r="N15" i="37"/>
  <c r="G15" i="37" s="1"/>
  <c r="M15" i="37"/>
  <c r="G14" i="37" s="1"/>
  <c r="L15" i="37"/>
  <c r="G13" i="37" s="1"/>
  <c r="K15" i="37"/>
  <c r="K16" i="37" s="1"/>
  <c r="H12" i="37" s="1"/>
  <c r="E15" i="37"/>
  <c r="D15" i="37"/>
  <c r="O14" i="37"/>
  <c r="F16" i="37" s="1"/>
  <c r="N14" i="37"/>
  <c r="F15" i="37" s="1"/>
  <c r="M14" i="37"/>
  <c r="L14" i="37"/>
  <c r="K14" i="37"/>
  <c r="F12" i="37" s="1"/>
  <c r="F14" i="37"/>
  <c r="E14" i="37"/>
  <c r="R13" i="37"/>
  <c r="R14" i="37" s="1"/>
  <c r="R15" i="37" s="1"/>
  <c r="R16" i="37" s="1"/>
  <c r="R17" i="37" s="1"/>
  <c r="R18" i="37" s="1"/>
  <c r="R19" i="37" s="1"/>
  <c r="R21" i="37" s="1"/>
  <c r="R22" i="37" s="1"/>
  <c r="R23" i="37" s="1"/>
  <c r="R24" i="37" s="1"/>
  <c r="R25" i="37" s="1"/>
  <c r="R26" i="37" s="1"/>
  <c r="R27" i="37" s="1"/>
  <c r="R28" i="37" s="1"/>
  <c r="R29" i="37" s="1"/>
  <c r="R30" i="37" s="1"/>
  <c r="R31" i="37" s="1"/>
  <c r="R32" i="37" s="1"/>
  <c r="R33" i="37" s="1"/>
  <c r="R34" i="37" s="1"/>
  <c r="R35" i="37" s="1"/>
  <c r="R36" i="37" s="1"/>
  <c r="R37" i="37" s="1"/>
  <c r="R38" i="37" s="1"/>
  <c r="R39" i="37" s="1"/>
  <c r="R40" i="37" s="1"/>
  <c r="R41" i="37" s="1"/>
  <c r="R42" i="37" s="1"/>
  <c r="O13" i="37"/>
  <c r="E16" i="37" s="1"/>
  <c r="N13" i="37"/>
  <c r="M13" i="37"/>
  <c r="L13" i="37"/>
  <c r="E13" i="37" s="1"/>
  <c r="K13" i="37"/>
  <c r="E12" i="37" s="1"/>
  <c r="F13" i="37"/>
  <c r="O12" i="37"/>
  <c r="D16" i="37" s="1"/>
  <c r="N12" i="37"/>
  <c r="M12" i="37"/>
  <c r="D14" i="37" s="1"/>
  <c r="L12" i="37"/>
  <c r="D13" i="37" s="1"/>
  <c r="K12" i="37"/>
  <c r="D12" i="37" s="1"/>
  <c r="G12" i="37"/>
  <c r="O16" i="36"/>
  <c r="H16" i="36" s="1"/>
  <c r="N16" i="36"/>
  <c r="H15" i="36" s="1"/>
  <c r="O15" i="36"/>
  <c r="G16" i="36" s="1"/>
  <c r="S42" i="36" s="1"/>
  <c r="N15" i="36"/>
  <c r="G15" i="36" s="1"/>
  <c r="M15" i="36"/>
  <c r="M16" i="36" s="1"/>
  <c r="H14" i="36" s="1"/>
  <c r="L15" i="36"/>
  <c r="G13" i="36" s="1"/>
  <c r="K15" i="36"/>
  <c r="G12" i="36" s="1"/>
  <c r="O14" i="36"/>
  <c r="F16" i="36" s="1"/>
  <c r="N14" i="36"/>
  <c r="F15" i="36" s="1"/>
  <c r="M14" i="36"/>
  <c r="F14" i="36" s="1"/>
  <c r="L14" i="36"/>
  <c r="F13" i="36" s="1"/>
  <c r="K14" i="36"/>
  <c r="F12" i="36" s="1"/>
  <c r="R13" i="36"/>
  <c r="R14" i="36" s="1"/>
  <c r="R15" i="36" s="1"/>
  <c r="R16" i="36" s="1"/>
  <c r="R17" i="36" s="1"/>
  <c r="R18" i="36" s="1"/>
  <c r="R19" i="36" s="1"/>
  <c r="R21" i="36" s="1"/>
  <c r="R22" i="36" s="1"/>
  <c r="R23" i="36" s="1"/>
  <c r="R24" i="36" s="1"/>
  <c r="R25" i="36" s="1"/>
  <c r="R26" i="36" s="1"/>
  <c r="R27" i="36" s="1"/>
  <c r="R28" i="36" s="1"/>
  <c r="R29" i="36" s="1"/>
  <c r="R30" i="36" s="1"/>
  <c r="R31" i="36" s="1"/>
  <c r="R32" i="36" s="1"/>
  <c r="R33" i="36" s="1"/>
  <c r="R34" i="36" s="1"/>
  <c r="R35" i="36" s="1"/>
  <c r="R36" i="36" s="1"/>
  <c r="R37" i="36" s="1"/>
  <c r="R38" i="36" s="1"/>
  <c r="R39" i="36" s="1"/>
  <c r="R40" i="36" s="1"/>
  <c r="R41" i="36" s="1"/>
  <c r="R42" i="36" s="1"/>
  <c r="O13" i="36"/>
  <c r="E16" i="36" s="1"/>
  <c r="N13" i="36"/>
  <c r="E15" i="36" s="1"/>
  <c r="M13" i="36"/>
  <c r="E14" i="36" s="1"/>
  <c r="L13" i="36"/>
  <c r="E13" i="36" s="1"/>
  <c r="K13" i="36"/>
  <c r="E12" i="36" s="1"/>
  <c r="O12" i="36"/>
  <c r="D16" i="36" s="1"/>
  <c r="N12" i="36"/>
  <c r="D15" i="36" s="1"/>
  <c r="M12" i="36"/>
  <c r="D14" i="36" s="1"/>
  <c r="L12" i="36"/>
  <c r="D13" i="36" s="1"/>
  <c r="K12" i="36"/>
  <c r="D12" i="36" s="1"/>
  <c r="O15" i="35"/>
  <c r="O16" i="35" s="1"/>
  <c r="H16" i="35" s="1"/>
  <c r="N15" i="35"/>
  <c r="G15" i="35" s="1"/>
  <c r="M15" i="35"/>
  <c r="G14" i="35" s="1"/>
  <c r="L15" i="35"/>
  <c r="L16" i="35" s="1"/>
  <c r="H13" i="35" s="1"/>
  <c r="K15" i="35"/>
  <c r="K16" i="35" s="1"/>
  <c r="H12" i="35" s="1"/>
  <c r="O14" i="35"/>
  <c r="F16" i="35" s="1"/>
  <c r="N14" i="35"/>
  <c r="F15" i="35" s="1"/>
  <c r="M14" i="35"/>
  <c r="F14" i="35" s="1"/>
  <c r="L14" i="35"/>
  <c r="F13" i="35" s="1"/>
  <c r="K14" i="35"/>
  <c r="F12" i="35" s="1"/>
  <c r="R13" i="35"/>
  <c r="R14" i="35" s="1"/>
  <c r="R15" i="35" s="1"/>
  <c r="R16" i="35" s="1"/>
  <c r="R17" i="35" s="1"/>
  <c r="R18" i="35" s="1"/>
  <c r="R19" i="35" s="1"/>
  <c r="R21" i="35" s="1"/>
  <c r="R22" i="35" s="1"/>
  <c r="R23" i="35" s="1"/>
  <c r="R24" i="35" s="1"/>
  <c r="R25" i="35" s="1"/>
  <c r="R26" i="35" s="1"/>
  <c r="R27" i="35" s="1"/>
  <c r="R28" i="35" s="1"/>
  <c r="R29" i="35" s="1"/>
  <c r="R30" i="35" s="1"/>
  <c r="R31" i="35" s="1"/>
  <c r="R32" i="35" s="1"/>
  <c r="R33" i="35" s="1"/>
  <c r="R34" i="35" s="1"/>
  <c r="R35" i="35" s="1"/>
  <c r="R36" i="35" s="1"/>
  <c r="R37" i="35" s="1"/>
  <c r="R38" i="35" s="1"/>
  <c r="R39" i="35" s="1"/>
  <c r="R40" i="35" s="1"/>
  <c r="R41" i="35" s="1"/>
  <c r="R42" i="35" s="1"/>
  <c r="O13" i="35"/>
  <c r="E16" i="35" s="1"/>
  <c r="N13" i="35"/>
  <c r="E15" i="35" s="1"/>
  <c r="M13" i="35"/>
  <c r="E14" i="35" s="1"/>
  <c r="L13" i="35"/>
  <c r="E13" i="35" s="1"/>
  <c r="K13" i="35"/>
  <c r="E12" i="35" s="1"/>
  <c r="O12" i="35"/>
  <c r="D16" i="35" s="1"/>
  <c r="S11" i="35" s="1"/>
  <c r="N12" i="35"/>
  <c r="D15" i="35" s="1"/>
  <c r="M12" i="35"/>
  <c r="D14" i="35" s="1"/>
  <c r="L12" i="35"/>
  <c r="D13" i="35" s="1"/>
  <c r="K12" i="35"/>
  <c r="D12" i="35" s="1"/>
  <c r="G12" i="35"/>
  <c r="L16" i="34"/>
  <c r="H13" i="34" s="1"/>
  <c r="O15" i="34"/>
  <c r="G16" i="34" s="1"/>
  <c r="S42" i="34" s="1"/>
  <c r="N15" i="34"/>
  <c r="G15" i="34" s="1"/>
  <c r="M15" i="34"/>
  <c r="M16" i="34" s="1"/>
  <c r="H14" i="34" s="1"/>
  <c r="L15" i="34"/>
  <c r="K15" i="34"/>
  <c r="G12" i="34" s="1"/>
  <c r="E15" i="34"/>
  <c r="O14" i="34"/>
  <c r="F16" i="34" s="1"/>
  <c r="N14" i="34"/>
  <c r="F15" i="34" s="1"/>
  <c r="M14" i="34"/>
  <c r="F14" i="34" s="1"/>
  <c r="L14" i="34"/>
  <c r="F13" i="34" s="1"/>
  <c r="K14" i="34"/>
  <c r="F12" i="34" s="1"/>
  <c r="G14" i="34"/>
  <c r="E14" i="34"/>
  <c r="R13" i="34"/>
  <c r="R14" i="34" s="1"/>
  <c r="R15" i="34" s="1"/>
  <c r="R16" i="34" s="1"/>
  <c r="R17" i="34" s="1"/>
  <c r="R18" i="34" s="1"/>
  <c r="R19" i="34" s="1"/>
  <c r="R21" i="34" s="1"/>
  <c r="R22" i="34" s="1"/>
  <c r="R23" i="34" s="1"/>
  <c r="R24" i="34" s="1"/>
  <c r="R25" i="34" s="1"/>
  <c r="R26" i="34" s="1"/>
  <c r="R27" i="34" s="1"/>
  <c r="R28" i="34" s="1"/>
  <c r="R29" i="34" s="1"/>
  <c r="R30" i="34" s="1"/>
  <c r="R31" i="34" s="1"/>
  <c r="R32" i="34" s="1"/>
  <c r="R33" i="34" s="1"/>
  <c r="R34" i="34" s="1"/>
  <c r="R35" i="34" s="1"/>
  <c r="R36" i="34" s="1"/>
  <c r="R37" i="34" s="1"/>
  <c r="R38" i="34" s="1"/>
  <c r="R39" i="34" s="1"/>
  <c r="R40" i="34" s="1"/>
  <c r="R41" i="34" s="1"/>
  <c r="R42" i="34" s="1"/>
  <c r="O13" i="34"/>
  <c r="E16" i="34" s="1"/>
  <c r="N13" i="34"/>
  <c r="M13" i="34"/>
  <c r="L13" i="34"/>
  <c r="E13" i="34" s="1"/>
  <c r="K13" i="34"/>
  <c r="E12" i="34" s="1"/>
  <c r="G13" i="34"/>
  <c r="O12" i="34"/>
  <c r="D16" i="34" s="1"/>
  <c r="N12" i="34"/>
  <c r="D15" i="34" s="1"/>
  <c r="M12" i="34"/>
  <c r="D14" i="34" s="1"/>
  <c r="L12" i="34"/>
  <c r="D13" i="34" s="1"/>
  <c r="I13" i="34" s="1"/>
  <c r="K12" i="34"/>
  <c r="D12" i="34"/>
  <c r="K17" i="33" l="1"/>
  <c r="K22" i="33"/>
  <c r="N16" i="33"/>
  <c r="N22" i="33"/>
  <c r="K16" i="34"/>
  <c r="H12" i="34" s="1"/>
  <c r="G15" i="39"/>
  <c r="G12" i="39"/>
  <c r="I12" i="39" s="1"/>
  <c r="G16" i="35"/>
  <c r="S42" i="35" s="1"/>
  <c r="G14" i="38"/>
  <c r="O16" i="34"/>
  <c r="H16" i="34" s="1"/>
  <c r="M16" i="39"/>
  <c r="H14" i="39" s="1"/>
  <c r="I14" i="39" s="1"/>
  <c r="G14" i="36"/>
  <c r="L16" i="36"/>
  <c r="H13" i="36" s="1"/>
  <c r="I13" i="36" s="1"/>
  <c r="K16" i="33"/>
  <c r="K18" i="33"/>
  <c r="N35" i="33"/>
  <c r="N21" i="33"/>
  <c r="N30" i="33"/>
  <c r="N38" i="33"/>
  <c r="N17" i="33"/>
  <c r="N33" i="33"/>
  <c r="N32" i="33"/>
  <c r="N19" i="33"/>
  <c r="N28" i="33"/>
  <c r="N34" i="33"/>
  <c r="N20" i="33"/>
  <c r="N37" i="33"/>
  <c r="N24" i="33"/>
  <c r="N36" i="33"/>
  <c r="N26" i="33"/>
  <c r="N27" i="33"/>
  <c r="N25" i="33"/>
  <c r="N29" i="33"/>
  <c r="N18" i="33"/>
  <c r="K38" i="33"/>
  <c r="K25" i="33"/>
  <c r="K33" i="33"/>
  <c r="K19" i="33"/>
  <c r="K36" i="33"/>
  <c r="K37" i="33"/>
  <c r="K35" i="33"/>
  <c r="K21" i="33"/>
  <c r="K28" i="33"/>
  <c r="K32" i="33"/>
  <c r="K26" i="33"/>
  <c r="K20" i="33"/>
  <c r="K27" i="33"/>
  <c r="K34" i="33"/>
  <c r="K29" i="33"/>
  <c r="K24" i="33"/>
  <c r="K30" i="33"/>
  <c r="I15" i="39"/>
  <c r="S11" i="39"/>
  <c r="G13" i="39"/>
  <c r="I13" i="39" s="1"/>
  <c r="I12" i="38"/>
  <c r="I14" i="38"/>
  <c r="I15" i="38"/>
  <c r="S11" i="38"/>
  <c r="G13" i="38"/>
  <c r="I13" i="38" s="1"/>
  <c r="I13" i="37"/>
  <c r="I12" i="37"/>
  <c r="I16" i="37"/>
  <c r="S11" i="37"/>
  <c r="T42" i="37" s="1"/>
  <c r="U42" i="37" s="1"/>
  <c r="M16" i="37"/>
  <c r="H14" i="37" s="1"/>
  <c r="I14" i="37" s="1"/>
  <c r="N16" i="37"/>
  <c r="H15" i="37" s="1"/>
  <c r="I15" i="37" s="1"/>
  <c r="I15" i="36"/>
  <c r="S11" i="36"/>
  <c r="T42" i="36" s="1"/>
  <c r="U42" i="36" s="1"/>
  <c r="I16" i="36"/>
  <c r="I14" i="36"/>
  <c r="K16" i="36"/>
  <c r="H12" i="36" s="1"/>
  <c r="I12" i="36" s="1"/>
  <c r="I12" i="35"/>
  <c r="I15" i="35"/>
  <c r="T42" i="35"/>
  <c r="U42" i="35" s="1"/>
  <c r="S12" i="35" s="1"/>
  <c r="S13" i="35" s="1"/>
  <c r="S14" i="35" s="1"/>
  <c r="S15" i="35" s="1"/>
  <c r="S16" i="35" s="1"/>
  <c r="S17" i="35" s="1"/>
  <c r="S18" i="35" s="1"/>
  <c r="S19" i="35" s="1"/>
  <c r="S21" i="35" s="1"/>
  <c r="S22" i="35" s="1"/>
  <c r="S23" i="35" s="1"/>
  <c r="S24" i="35" s="1"/>
  <c r="S25" i="35" s="1"/>
  <c r="S26" i="35" s="1"/>
  <c r="S27" i="35" s="1"/>
  <c r="S28" i="35" s="1"/>
  <c r="S29" i="35" s="1"/>
  <c r="S30" i="35" s="1"/>
  <c r="S31" i="35" s="1"/>
  <c r="S32" i="35" s="1"/>
  <c r="S33" i="35" s="1"/>
  <c r="S34" i="35" s="1"/>
  <c r="S35" i="35" s="1"/>
  <c r="S36" i="35" s="1"/>
  <c r="S37" i="35" s="1"/>
  <c r="S38" i="35" s="1"/>
  <c r="S39" i="35" s="1"/>
  <c r="S40" i="35" s="1"/>
  <c r="S41" i="35" s="1"/>
  <c r="M16" i="35"/>
  <c r="H14" i="35" s="1"/>
  <c r="I14" i="35" s="1"/>
  <c r="N16" i="35"/>
  <c r="H15" i="35" s="1"/>
  <c r="G13" i="35"/>
  <c r="I13" i="35" s="1"/>
  <c r="I16" i="35"/>
  <c r="I16" i="34"/>
  <c r="S11" i="34"/>
  <c r="I14" i="34"/>
  <c r="I12" i="34"/>
  <c r="N16" i="34"/>
  <c r="H15" i="34" s="1"/>
  <c r="I15" i="34" s="1"/>
  <c r="T42" i="39" l="1"/>
  <c r="U42" i="39" s="1"/>
  <c r="S12" i="39" s="1"/>
  <c r="S13" i="39" s="1"/>
  <c r="S14" i="39" s="1"/>
  <c r="S15" i="39" s="1"/>
  <c r="S16" i="39" s="1"/>
  <c r="S17" i="39" s="1"/>
  <c r="S18" i="39" s="1"/>
  <c r="S19" i="39" s="1"/>
  <c r="S21" i="39" s="1"/>
  <c r="S22" i="39" s="1"/>
  <c r="S23" i="39" s="1"/>
  <c r="S24" i="39" s="1"/>
  <c r="S25" i="39" s="1"/>
  <c r="S26" i="39" s="1"/>
  <c r="S27" i="39" s="1"/>
  <c r="S28" i="39" s="1"/>
  <c r="S29" i="39" s="1"/>
  <c r="S30" i="39" s="1"/>
  <c r="S31" i="39" s="1"/>
  <c r="S32" i="39" s="1"/>
  <c r="S33" i="39" s="1"/>
  <c r="S34" i="39" s="1"/>
  <c r="S35" i="39" s="1"/>
  <c r="S36" i="39" s="1"/>
  <c r="S37" i="39" s="1"/>
  <c r="S38" i="39" s="1"/>
  <c r="S39" i="39" s="1"/>
  <c r="S40" i="39" s="1"/>
  <c r="S41" i="39" s="1"/>
  <c r="T42" i="38"/>
  <c r="U42" i="38" s="1"/>
  <c r="S12" i="38" s="1"/>
  <c r="S13" i="38" s="1"/>
  <c r="S14" i="38" s="1"/>
  <c r="S15" i="38" s="1"/>
  <c r="S16" i="38" s="1"/>
  <c r="S17" i="38" s="1"/>
  <c r="S18" i="38" s="1"/>
  <c r="S19" i="38" s="1"/>
  <c r="S21" i="38" s="1"/>
  <c r="S22" i="38" s="1"/>
  <c r="S23" i="38" s="1"/>
  <c r="S24" i="38" s="1"/>
  <c r="S25" i="38" s="1"/>
  <c r="S26" i="38" s="1"/>
  <c r="S27" i="38" s="1"/>
  <c r="S28" i="38" s="1"/>
  <c r="S29" i="38" s="1"/>
  <c r="S30" i="38" s="1"/>
  <c r="S31" i="38" s="1"/>
  <c r="S32" i="38" s="1"/>
  <c r="S33" i="38" s="1"/>
  <c r="S34" i="38" s="1"/>
  <c r="S35" i="38" s="1"/>
  <c r="S36" i="38" s="1"/>
  <c r="S37" i="38" s="1"/>
  <c r="S38" i="38" s="1"/>
  <c r="S39" i="38" s="1"/>
  <c r="S40" i="38" s="1"/>
  <c r="S41" i="38" s="1"/>
  <c r="S12" i="37"/>
  <c r="S13" i="37" s="1"/>
  <c r="S14" i="37" s="1"/>
  <c r="S15" i="37" s="1"/>
  <c r="S16" i="37" s="1"/>
  <c r="S17" i="37" s="1"/>
  <c r="S18" i="37" s="1"/>
  <c r="S19" i="37" s="1"/>
  <c r="S21" i="37" s="1"/>
  <c r="S22" i="37" s="1"/>
  <c r="S23" i="37" s="1"/>
  <c r="S24" i="37" s="1"/>
  <c r="S25" i="37" s="1"/>
  <c r="S26" i="37" s="1"/>
  <c r="S27" i="37" s="1"/>
  <c r="S28" i="37" s="1"/>
  <c r="S29" i="37" s="1"/>
  <c r="S30" i="37" s="1"/>
  <c r="S31" i="37" s="1"/>
  <c r="S32" i="37" s="1"/>
  <c r="S33" i="37" s="1"/>
  <c r="S34" i="37" s="1"/>
  <c r="S35" i="37" s="1"/>
  <c r="S36" i="37" s="1"/>
  <c r="S37" i="37" s="1"/>
  <c r="S38" i="37" s="1"/>
  <c r="S39" i="37" s="1"/>
  <c r="S40" i="37" s="1"/>
  <c r="S41" i="37" s="1"/>
  <c r="S12" i="36"/>
  <c r="S13" i="36" s="1"/>
  <c r="S14" i="36" s="1"/>
  <c r="S15" i="36" s="1"/>
  <c r="S16" i="36" s="1"/>
  <c r="S17" i="36" s="1"/>
  <c r="S18" i="36" s="1"/>
  <c r="S19" i="36" s="1"/>
  <c r="S21" i="36" s="1"/>
  <c r="S22" i="36" s="1"/>
  <c r="S23" i="36" s="1"/>
  <c r="S24" i="36" s="1"/>
  <c r="S25" i="36" s="1"/>
  <c r="S26" i="36" s="1"/>
  <c r="S27" i="36" s="1"/>
  <c r="S28" i="36" s="1"/>
  <c r="S29" i="36" s="1"/>
  <c r="S30" i="36" s="1"/>
  <c r="S31" i="36" s="1"/>
  <c r="S32" i="36" s="1"/>
  <c r="S33" i="36" s="1"/>
  <c r="S34" i="36" s="1"/>
  <c r="S35" i="36" s="1"/>
  <c r="S36" i="36" s="1"/>
  <c r="S37" i="36" s="1"/>
  <c r="S38" i="36" s="1"/>
  <c r="S39" i="36" s="1"/>
  <c r="S40" i="36" s="1"/>
  <c r="S41" i="36" s="1"/>
  <c r="T42" i="34"/>
  <c r="U42" i="34" s="1"/>
  <c r="S12" i="34" s="1"/>
  <c r="S13" i="34" s="1"/>
  <c r="S14" i="34" s="1"/>
  <c r="S15" i="34" s="1"/>
  <c r="S16" i="34" s="1"/>
  <c r="S17" i="34" s="1"/>
  <c r="S18" i="34" s="1"/>
  <c r="S19" i="34" s="1"/>
  <c r="S21" i="34" s="1"/>
  <c r="S22" i="34" s="1"/>
  <c r="S23" i="34" s="1"/>
  <c r="S24" i="34" s="1"/>
  <c r="S25" i="34" s="1"/>
  <c r="S26" i="34" s="1"/>
  <c r="S27" i="34" s="1"/>
  <c r="S28" i="34" s="1"/>
  <c r="S29" i="34" s="1"/>
  <c r="S30" i="34" s="1"/>
  <c r="S31" i="34" s="1"/>
  <c r="S32" i="34" s="1"/>
  <c r="S33" i="34" s="1"/>
  <c r="S34" i="34" s="1"/>
  <c r="S35" i="34" s="1"/>
  <c r="S36" i="34" s="1"/>
  <c r="S37" i="34" s="1"/>
  <c r="S38" i="34" s="1"/>
  <c r="S39" i="34" s="1"/>
  <c r="S40" i="34" s="1"/>
  <c r="S41" i="34" s="1"/>
  <c r="B49" i="33"/>
  <c r="O10" i="33"/>
  <c r="M11" i="33"/>
  <c r="M10" i="33"/>
  <c r="I11" i="33"/>
  <c r="I10" i="33"/>
  <c r="C11" i="33"/>
  <c r="C10" i="33"/>
  <c r="B6" i="33"/>
  <c r="G41" i="20"/>
  <c r="G42" i="20" s="1"/>
  <c r="G43" i="20" s="1"/>
  <c r="G44" i="20" s="1"/>
  <c r="G45" i="20" s="1"/>
  <c r="G46" i="20" s="1"/>
  <c r="G47" i="20" s="1"/>
  <c r="G48" i="20" s="1"/>
  <c r="G49" i="20" s="1"/>
  <c r="G50" i="20" s="1"/>
  <c r="G51" i="20" s="1"/>
  <c r="G52" i="20" s="1"/>
  <c r="G53" i="20" s="1"/>
  <c r="G54" i="20" s="1"/>
  <c r="G55" i="20" s="1"/>
  <c r="G56" i="20" s="1"/>
  <c r="G57" i="20" s="1"/>
  <c r="G58" i="20" s="1"/>
  <c r="G59" i="20" s="1"/>
  <c r="G60" i="20" s="1"/>
  <c r="G61" i="20" s="1"/>
  <c r="G62" i="20" s="1"/>
  <c r="G63" i="20" s="1"/>
  <c r="G64" i="20" s="1"/>
  <c r="G65" i="20" s="1"/>
  <c r="G66" i="20" s="1"/>
  <c r="G67" i="20" s="1"/>
  <c r="G68" i="20" s="1"/>
  <c r="G69" i="20" s="1"/>
  <c r="G70" i="20" s="1"/>
  <c r="G71" i="20" s="1"/>
  <c r="G72" i="20" s="1"/>
  <c r="G73" i="20" s="1"/>
  <c r="G74" i="20" s="1"/>
  <c r="G75" i="20" s="1"/>
  <c r="G76" i="20" s="1"/>
  <c r="F41" i="20"/>
  <c r="F42" i="20" s="1"/>
  <c r="F43" i="20" s="1"/>
  <c r="F44" i="20" s="1"/>
  <c r="F45" i="20" s="1"/>
  <c r="F46" i="20" s="1"/>
  <c r="F47" i="20" s="1"/>
  <c r="F48" i="20" s="1"/>
  <c r="F49" i="20" s="1"/>
  <c r="F50" i="20" s="1"/>
  <c r="F51" i="20" s="1"/>
  <c r="F52" i="20" s="1"/>
  <c r="F53" i="20" s="1"/>
  <c r="F54" i="20" s="1"/>
  <c r="F55" i="20" s="1"/>
  <c r="F56" i="20" s="1"/>
  <c r="F57" i="20" s="1"/>
  <c r="F58" i="20" s="1"/>
  <c r="F59" i="20" s="1"/>
  <c r="F60" i="20" s="1"/>
  <c r="F61" i="20" s="1"/>
  <c r="F62" i="20" s="1"/>
  <c r="F63" i="20" s="1"/>
  <c r="F64" i="20" s="1"/>
  <c r="F65" i="20" s="1"/>
  <c r="F66" i="20" s="1"/>
  <c r="F67" i="20" s="1"/>
  <c r="F68" i="20" s="1"/>
  <c r="F69" i="20" s="1"/>
  <c r="F70" i="20" s="1"/>
  <c r="F71" i="20" s="1"/>
  <c r="F72" i="20" s="1"/>
  <c r="F73" i="20" s="1"/>
  <c r="F74" i="20" s="1"/>
  <c r="F75" i="20" s="1"/>
  <c r="F76" i="20" s="1"/>
  <c r="E41" i="20"/>
  <c r="E42" i="20" s="1"/>
  <c r="E43" i="20" s="1"/>
  <c r="E44" i="20" s="1"/>
  <c r="E45" i="20" s="1"/>
  <c r="E46" i="20" s="1"/>
  <c r="E47" i="20" s="1"/>
  <c r="E48" i="20" s="1"/>
  <c r="E49" i="20" s="1"/>
  <c r="E50" i="20" s="1"/>
  <c r="E51" i="20" s="1"/>
  <c r="E52" i="20" s="1"/>
  <c r="E53" i="20" s="1"/>
  <c r="E54" i="20" s="1"/>
  <c r="E55" i="20" s="1"/>
  <c r="E56" i="20" s="1"/>
  <c r="E57" i="20" s="1"/>
  <c r="E58" i="20" s="1"/>
  <c r="E59" i="20" s="1"/>
  <c r="E60" i="20" s="1"/>
  <c r="E61" i="20" s="1"/>
  <c r="E62" i="20" s="1"/>
  <c r="E63" i="20" s="1"/>
  <c r="E64" i="20" s="1"/>
  <c r="E65" i="20" s="1"/>
  <c r="E66" i="20" s="1"/>
  <c r="E67" i="20" s="1"/>
  <c r="E68" i="20" s="1"/>
  <c r="E69" i="20" s="1"/>
  <c r="E70" i="20" s="1"/>
  <c r="E71" i="20" s="1"/>
  <c r="E72" i="20" s="1"/>
  <c r="E73" i="20" s="1"/>
  <c r="E74" i="20" s="1"/>
  <c r="E75" i="20" s="1"/>
  <c r="E76" i="20" s="1"/>
  <c r="D41" i="20"/>
  <c r="D42" i="20" s="1"/>
  <c r="D43" i="20" s="1"/>
  <c r="D44" i="20" s="1"/>
  <c r="D45" i="20" s="1"/>
  <c r="D46" i="20" s="1"/>
  <c r="D47" i="20" s="1"/>
  <c r="D48" i="20" s="1"/>
  <c r="D49" i="20" s="1"/>
  <c r="D50" i="20" s="1"/>
  <c r="D51" i="20" s="1"/>
  <c r="D52" i="20" s="1"/>
  <c r="D53" i="20" s="1"/>
  <c r="D54" i="20" s="1"/>
  <c r="D55" i="20" s="1"/>
  <c r="D56" i="20" s="1"/>
  <c r="D57" i="20" s="1"/>
  <c r="D58" i="20" s="1"/>
  <c r="D59" i="20" s="1"/>
  <c r="D60" i="20" s="1"/>
  <c r="D61" i="20" s="1"/>
  <c r="D62" i="20" s="1"/>
  <c r="D63" i="20" s="1"/>
  <c r="D64" i="20" s="1"/>
  <c r="D65" i="20" s="1"/>
  <c r="D66" i="20" s="1"/>
  <c r="D67" i="20" s="1"/>
  <c r="D68" i="20" s="1"/>
  <c r="D69" i="20" s="1"/>
  <c r="D70" i="20" s="1"/>
  <c r="D71" i="20" s="1"/>
  <c r="D72" i="20" s="1"/>
  <c r="D73" i="20" s="1"/>
  <c r="D74" i="20" s="1"/>
  <c r="D75" i="20" s="1"/>
  <c r="D76" i="20" s="1"/>
  <c r="C41" i="20"/>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C74" i="20" s="1"/>
  <c r="C75" i="20" s="1"/>
  <c r="C76" i="20" s="1"/>
  <c r="G40" i="20"/>
  <c r="F40" i="20"/>
  <c r="E40" i="20"/>
  <c r="D40" i="20"/>
  <c r="C40" i="20"/>
  <c r="G39" i="20"/>
  <c r="F39" i="20"/>
  <c r="E39" i="20"/>
  <c r="D39" i="20"/>
  <c r="C39" i="20"/>
  <c r="G38" i="20"/>
  <c r="F38" i="20"/>
  <c r="E38" i="20"/>
  <c r="D38" i="20"/>
  <c r="C38" i="20"/>
  <c r="G37" i="20"/>
  <c r="F37" i="20"/>
  <c r="E37" i="20"/>
  <c r="D37" i="20"/>
  <c r="C37" i="20"/>
  <c r="G36" i="20"/>
  <c r="F36" i="20"/>
  <c r="E36" i="20"/>
  <c r="D36" i="20"/>
  <c r="C36" i="20"/>
  <c r="G35" i="20"/>
  <c r="F35" i="20"/>
  <c r="E35" i="20"/>
  <c r="D35" i="20"/>
  <c r="C35" i="20"/>
  <c r="G34" i="20"/>
  <c r="F34" i="20"/>
  <c r="E34" i="20"/>
  <c r="D34" i="20"/>
  <c r="C34" i="20"/>
  <c r="G33" i="20"/>
  <c r="F33" i="20"/>
  <c r="E33" i="20"/>
  <c r="D33" i="20"/>
  <c r="C33" i="20"/>
  <c r="G32" i="20"/>
  <c r="F32" i="20"/>
  <c r="E32" i="20"/>
  <c r="D32" i="20"/>
  <c r="C32" i="20"/>
  <c r="G31" i="20"/>
  <c r="F31" i="20"/>
  <c r="E31" i="20"/>
  <c r="D31" i="20"/>
  <c r="C31" i="20"/>
  <c r="G30" i="20"/>
  <c r="F30" i="20"/>
  <c r="E30" i="20"/>
  <c r="D30" i="20"/>
  <c r="C30" i="20"/>
  <c r="G29" i="20"/>
  <c r="F29" i="20"/>
  <c r="E29" i="20"/>
  <c r="D29" i="20"/>
  <c r="C29" i="20"/>
  <c r="G28" i="20"/>
  <c r="F28" i="20"/>
  <c r="E28" i="20"/>
  <c r="D28" i="20"/>
  <c r="C28" i="20"/>
  <c r="G27" i="20"/>
  <c r="F27" i="20"/>
  <c r="E27" i="20"/>
  <c r="D27" i="20"/>
  <c r="C27" i="20"/>
  <c r="G26" i="20"/>
  <c r="F26" i="20"/>
  <c r="E26" i="20"/>
  <c r="D26" i="20"/>
  <c r="C26" i="20"/>
  <c r="G25" i="20"/>
  <c r="F25" i="20"/>
  <c r="E25" i="20"/>
  <c r="D25" i="20"/>
  <c r="C25" i="20"/>
  <c r="G24" i="20"/>
  <c r="F24" i="20"/>
  <c r="E24" i="20"/>
  <c r="D24" i="20"/>
  <c r="C24" i="20"/>
  <c r="G23" i="20"/>
  <c r="F23" i="20"/>
  <c r="E23" i="20"/>
  <c r="D23" i="20"/>
  <c r="C23" i="20"/>
  <c r="G22" i="20"/>
  <c r="F22" i="20"/>
  <c r="E22" i="20"/>
  <c r="D22" i="20"/>
  <c r="C22" i="20"/>
  <c r="G21" i="20"/>
  <c r="F21" i="20"/>
  <c r="E21" i="20"/>
  <c r="D21" i="20"/>
  <c r="C21" i="20"/>
  <c r="G20" i="20"/>
  <c r="F20" i="20"/>
  <c r="E20" i="20"/>
  <c r="D20" i="20"/>
  <c r="C20" i="20"/>
  <c r="G19" i="20"/>
  <c r="F19" i="20"/>
  <c r="E19" i="20"/>
  <c r="D19" i="20"/>
  <c r="C19" i="20"/>
  <c r="G18" i="20"/>
  <c r="F18" i="20"/>
  <c r="E18" i="20"/>
  <c r="D18" i="20"/>
  <c r="C18" i="20"/>
  <c r="G17" i="20"/>
  <c r="F17" i="20"/>
  <c r="E17" i="20"/>
  <c r="D17" i="20"/>
  <c r="C17" i="20"/>
  <c r="G16" i="20"/>
  <c r="F16" i="20"/>
  <c r="E16" i="20"/>
  <c r="D16" i="20"/>
  <c r="C16" i="20"/>
  <c r="G15" i="20"/>
  <c r="F15" i="20"/>
  <c r="E15" i="20"/>
  <c r="D15" i="20"/>
  <c r="C15" i="20"/>
  <c r="G14" i="20"/>
  <c r="F14" i="20"/>
  <c r="E14" i="20"/>
  <c r="D14" i="20"/>
  <c r="C14" i="20"/>
  <c r="G13" i="20"/>
  <c r="F13" i="20"/>
  <c r="E13" i="20"/>
  <c r="D13" i="20"/>
  <c r="C13" i="20"/>
  <c r="G12" i="20"/>
  <c r="F12" i="20"/>
  <c r="E12" i="20"/>
  <c r="D12" i="20"/>
  <c r="C12" i="20"/>
  <c r="G11" i="20"/>
  <c r="F11" i="20"/>
  <c r="E11" i="20"/>
  <c r="D11" i="20"/>
  <c r="C11" i="20"/>
  <c r="D28" i="32" l="1"/>
  <c r="H34" i="33" s="1"/>
  <c r="D28" i="39" l="1"/>
  <c r="D28" i="19"/>
  <c r="D28" i="30"/>
  <c r="D28" i="38"/>
  <c r="D28" i="36"/>
  <c r="D28" i="29"/>
  <c r="D28" i="37"/>
  <c r="D28" i="35"/>
  <c r="D28" i="34"/>
  <c r="F30" i="32"/>
  <c r="E28" i="38" l="1"/>
  <c r="E30" i="38" s="1"/>
  <c r="F30" i="38" s="1"/>
  <c r="F33" i="38" s="1"/>
  <c r="F40" i="32" l="1"/>
  <c r="F38" i="32"/>
  <c r="F18" i="32"/>
  <c r="D22" i="35"/>
  <c r="N58" i="33"/>
  <c r="J58" i="33"/>
  <c r="B58" i="33"/>
  <c r="N57" i="33"/>
  <c r="B57" i="33"/>
  <c r="H1" i="33"/>
  <c r="F28" i="32"/>
  <c r="L16" i="30"/>
  <c r="K16" i="30"/>
  <c r="H12" i="30" s="1"/>
  <c r="E16" i="30"/>
  <c r="O15" i="30"/>
  <c r="G16" i="30" s="1"/>
  <c r="S42" i="30" s="1"/>
  <c r="N15" i="30"/>
  <c r="N16" i="30" s="1"/>
  <c r="H15" i="30" s="1"/>
  <c r="M15" i="30"/>
  <c r="M16" i="30" s="1"/>
  <c r="H14" i="30" s="1"/>
  <c r="L15" i="30"/>
  <c r="G13" i="30" s="1"/>
  <c r="K15" i="30"/>
  <c r="F15" i="30"/>
  <c r="E15" i="30"/>
  <c r="O14" i="30"/>
  <c r="F16" i="30" s="1"/>
  <c r="N14" i="30"/>
  <c r="M14" i="30"/>
  <c r="F14" i="30" s="1"/>
  <c r="L14" i="30"/>
  <c r="F13" i="30" s="1"/>
  <c r="K14" i="30"/>
  <c r="F12" i="30" s="1"/>
  <c r="D14" i="30"/>
  <c r="R13" i="30"/>
  <c r="R14" i="30" s="1"/>
  <c r="R15" i="30" s="1"/>
  <c r="R16" i="30" s="1"/>
  <c r="R17" i="30" s="1"/>
  <c r="R18" i="30" s="1"/>
  <c r="R19" i="30" s="1"/>
  <c r="R21" i="30" s="1"/>
  <c r="R22" i="30" s="1"/>
  <c r="R23" i="30" s="1"/>
  <c r="R24" i="30" s="1"/>
  <c r="R25" i="30" s="1"/>
  <c r="R26" i="30" s="1"/>
  <c r="R27" i="30" s="1"/>
  <c r="R28" i="30" s="1"/>
  <c r="R29" i="30" s="1"/>
  <c r="R30" i="30" s="1"/>
  <c r="R31" i="30" s="1"/>
  <c r="R32" i="30" s="1"/>
  <c r="R33" i="30" s="1"/>
  <c r="R34" i="30" s="1"/>
  <c r="R35" i="30" s="1"/>
  <c r="R36" i="30" s="1"/>
  <c r="R37" i="30" s="1"/>
  <c r="R38" i="30" s="1"/>
  <c r="R39" i="30" s="1"/>
  <c r="R40" i="30" s="1"/>
  <c r="R41" i="30" s="1"/>
  <c r="R42" i="30" s="1"/>
  <c r="O13" i="30"/>
  <c r="N13" i="30"/>
  <c r="M13" i="30"/>
  <c r="E14" i="30" s="1"/>
  <c r="L13" i="30"/>
  <c r="E13" i="30" s="1"/>
  <c r="K13" i="30"/>
  <c r="H13" i="30"/>
  <c r="O12" i="30"/>
  <c r="D16" i="30" s="1"/>
  <c r="N12" i="30"/>
  <c r="D15" i="30" s="1"/>
  <c r="M12" i="30"/>
  <c r="L12" i="30"/>
  <c r="D13" i="30" s="1"/>
  <c r="K12" i="30"/>
  <c r="D12" i="30" s="1"/>
  <c r="G12" i="30"/>
  <c r="E12" i="30"/>
  <c r="M16" i="29"/>
  <c r="H14" i="29" s="1"/>
  <c r="O15" i="29"/>
  <c r="G16" i="29" s="1"/>
  <c r="S42" i="29" s="1"/>
  <c r="N15" i="29"/>
  <c r="N16" i="29" s="1"/>
  <c r="H15" i="29" s="1"/>
  <c r="M15" i="29"/>
  <c r="L15" i="29"/>
  <c r="L16" i="29" s="1"/>
  <c r="H13" i="29" s="1"/>
  <c r="K15" i="29"/>
  <c r="K16" i="29" s="1"/>
  <c r="H12" i="29" s="1"/>
  <c r="O14" i="29"/>
  <c r="F16" i="29" s="1"/>
  <c r="N14" i="29"/>
  <c r="F15" i="29" s="1"/>
  <c r="M14" i="29"/>
  <c r="L14" i="29"/>
  <c r="F13" i="29" s="1"/>
  <c r="K14" i="29"/>
  <c r="F12" i="29" s="1"/>
  <c r="G14" i="29"/>
  <c r="F14" i="29"/>
  <c r="R13" i="29"/>
  <c r="R14" i="29" s="1"/>
  <c r="R15" i="29" s="1"/>
  <c r="R16" i="29" s="1"/>
  <c r="R17" i="29" s="1"/>
  <c r="R18" i="29" s="1"/>
  <c r="R19" i="29" s="1"/>
  <c r="R21" i="29" s="1"/>
  <c r="R22" i="29" s="1"/>
  <c r="R23" i="29" s="1"/>
  <c r="R24" i="29" s="1"/>
  <c r="R25" i="29" s="1"/>
  <c r="R26" i="29" s="1"/>
  <c r="R27" i="29" s="1"/>
  <c r="R28" i="29" s="1"/>
  <c r="R29" i="29" s="1"/>
  <c r="R30" i="29" s="1"/>
  <c r="R31" i="29" s="1"/>
  <c r="R32" i="29" s="1"/>
  <c r="R33" i="29" s="1"/>
  <c r="R34" i="29" s="1"/>
  <c r="R35" i="29" s="1"/>
  <c r="R36" i="29" s="1"/>
  <c r="R37" i="29" s="1"/>
  <c r="R38" i="29" s="1"/>
  <c r="R39" i="29" s="1"/>
  <c r="R40" i="29" s="1"/>
  <c r="R41" i="29" s="1"/>
  <c r="R42" i="29" s="1"/>
  <c r="O13" i="29"/>
  <c r="E16" i="29" s="1"/>
  <c r="N13" i="29"/>
  <c r="E15" i="29" s="1"/>
  <c r="M13" i="29"/>
  <c r="E14" i="29" s="1"/>
  <c r="L13" i="29"/>
  <c r="E13" i="29" s="1"/>
  <c r="K13" i="29"/>
  <c r="O12" i="29"/>
  <c r="D16" i="29" s="1"/>
  <c r="S11" i="29" s="1"/>
  <c r="N12" i="29"/>
  <c r="D15" i="29" s="1"/>
  <c r="M12" i="29"/>
  <c r="D14" i="29" s="1"/>
  <c r="L12" i="29"/>
  <c r="D13" i="29" s="1"/>
  <c r="K12" i="29"/>
  <c r="D12" i="29" s="1"/>
  <c r="E12" i="29"/>
  <c r="G13" i="29" l="1"/>
  <c r="G12" i="29"/>
  <c r="I12" i="29" s="1"/>
  <c r="G14" i="30"/>
  <c r="I14" i="30" s="1"/>
  <c r="T42" i="29"/>
  <c r="U42" i="29" s="1"/>
  <c r="S12" i="29" s="1"/>
  <c r="S13" i="29" s="1"/>
  <c r="S14" i="29" s="1"/>
  <c r="S15" i="29" s="1"/>
  <c r="S16" i="29" s="1"/>
  <c r="S17" i="29" s="1"/>
  <c r="S18" i="29" s="1"/>
  <c r="S19" i="29" s="1"/>
  <c r="S21" i="29" s="1"/>
  <c r="S22" i="29" s="1"/>
  <c r="S23" i="29" s="1"/>
  <c r="S24" i="29" s="1"/>
  <c r="S25" i="29" s="1"/>
  <c r="S26" i="29" s="1"/>
  <c r="S27" i="29" s="1"/>
  <c r="S28" i="29" s="1"/>
  <c r="S29" i="29" s="1"/>
  <c r="S30" i="29" s="1"/>
  <c r="S31" i="29" s="1"/>
  <c r="S32" i="29" s="1"/>
  <c r="S33" i="29" s="1"/>
  <c r="S34" i="29" s="1"/>
  <c r="S35" i="29" s="1"/>
  <c r="S36" i="29" s="1"/>
  <c r="S37" i="29" s="1"/>
  <c r="S38" i="29" s="1"/>
  <c r="S39" i="29" s="1"/>
  <c r="S40" i="29" s="1"/>
  <c r="S41" i="29" s="1"/>
  <c r="D22" i="36"/>
  <c r="D22" i="37"/>
  <c r="L10" i="33"/>
  <c r="D22" i="34"/>
  <c r="D22" i="29"/>
  <c r="E26" i="29" s="1"/>
  <c r="E28" i="29" s="1"/>
  <c r="E30" i="29" s="1"/>
  <c r="F30" i="29" s="1"/>
  <c r="F33" i="29" s="1"/>
  <c r="L11" i="33"/>
  <c r="D22" i="19"/>
  <c r="I13" i="30"/>
  <c r="S11" i="30"/>
  <c r="I12" i="30"/>
  <c r="G15" i="30"/>
  <c r="I15" i="30" s="1"/>
  <c r="O16" i="30"/>
  <c r="H16" i="30" s="1"/>
  <c r="I16" i="30" s="1"/>
  <c r="I13" i="29"/>
  <c r="I14" i="29"/>
  <c r="G15" i="29"/>
  <c r="I15" i="29" s="1"/>
  <c r="O16" i="29"/>
  <c r="H16" i="29" s="1"/>
  <c r="I16" i="29" s="1"/>
  <c r="E26" i="19" l="1"/>
  <c r="E28" i="19" s="1"/>
  <c r="T42" i="30"/>
  <c r="U42" i="30" s="1"/>
  <c r="S12" i="30" s="1"/>
  <c r="S13" i="30" s="1"/>
  <c r="S14" i="30" s="1"/>
  <c r="S15" i="30" s="1"/>
  <c r="S16" i="30" s="1"/>
  <c r="S17" i="30" s="1"/>
  <c r="S18" i="30" s="1"/>
  <c r="S19"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K12" i="19" l="1"/>
  <c r="L12" i="19"/>
  <c r="M12" i="19"/>
  <c r="N12" i="19"/>
  <c r="O12" i="19"/>
  <c r="K13" i="19"/>
  <c r="L13" i="19"/>
  <c r="M13" i="19"/>
  <c r="N13" i="19"/>
  <c r="O13" i="19"/>
  <c r="R13" i="19"/>
  <c r="R14" i="19" s="1"/>
  <c r="R15" i="19" s="1"/>
  <c r="R16" i="19" s="1"/>
  <c r="R17" i="19" s="1"/>
  <c r="R18" i="19" s="1"/>
  <c r="R19" i="19" s="1"/>
  <c r="R21" i="19" s="1"/>
  <c r="R22" i="19" s="1"/>
  <c r="R23" i="19" s="1"/>
  <c r="R24" i="19" s="1"/>
  <c r="R25" i="19" s="1"/>
  <c r="R26" i="19" s="1"/>
  <c r="R27" i="19" s="1"/>
  <c r="R28" i="19" s="1"/>
  <c r="R29" i="19" s="1"/>
  <c r="R30" i="19" s="1"/>
  <c r="R31" i="19" s="1"/>
  <c r="R32" i="19" s="1"/>
  <c r="R33" i="19" s="1"/>
  <c r="R34" i="19" s="1"/>
  <c r="R35" i="19" s="1"/>
  <c r="R36" i="19" s="1"/>
  <c r="R37" i="19" s="1"/>
  <c r="R38" i="19" s="1"/>
  <c r="R39" i="19" s="1"/>
  <c r="R40" i="19" s="1"/>
  <c r="R41" i="19" s="1"/>
  <c r="R42" i="19" s="1"/>
  <c r="K14" i="19"/>
  <c r="L14" i="19"/>
  <c r="M14" i="19"/>
  <c r="N14" i="19"/>
  <c r="O14" i="19"/>
  <c r="K15" i="19"/>
  <c r="K16" i="19" s="1"/>
  <c r="L15" i="19"/>
  <c r="L16" i="19" s="1"/>
  <c r="M15" i="19"/>
  <c r="M16" i="19" s="1"/>
  <c r="N15" i="19"/>
  <c r="N16" i="19" s="1"/>
  <c r="O15" i="19"/>
  <c r="O16" i="19" s="1"/>
  <c r="G72" i="28" l="1"/>
  <c r="E72" i="28"/>
  <c r="C72" i="28"/>
  <c r="G71" i="28"/>
  <c r="F71" i="28"/>
  <c r="E71" i="28"/>
  <c r="D71" i="28"/>
  <c r="C71" i="28"/>
  <c r="G70" i="28"/>
  <c r="F70" i="28"/>
  <c r="E70" i="28"/>
  <c r="D70" i="28"/>
  <c r="C70" i="28"/>
  <c r="G69" i="28"/>
  <c r="F69" i="28"/>
  <c r="E69" i="28"/>
  <c r="D69" i="28"/>
  <c r="C69" i="28"/>
  <c r="G68" i="28"/>
  <c r="F68" i="28"/>
  <c r="E68" i="28"/>
  <c r="D68" i="28"/>
  <c r="C68" i="28"/>
  <c r="G67" i="28"/>
  <c r="F67" i="28"/>
  <c r="E67" i="28"/>
  <c r="D67" i="28"/>
  <c r="C67" i="28"/>
  <c r="G66" i="28"/>
  <c r="F66" i="28"/>
  <c r="E66" i="28"/>
  <c r="D66" i="28"/>
  <c r="C66" i="28"/>
  <c r="G65" i="28"/>
  <c r="F65" i="28"/>
  <c r="E65" i="28"/>
  <c r="D65" i="28"/>
  <c r="C65" i="28"/>
  <c r="G64" i="28"/>
  <c r="F64" i="28"/>
  <c r="E64" i="28"/>
  <c r="D64" i="28"/>
  <c r="C64" i="28"/>
  <c r="G63" i="28"/>
  <c r="F63" i="28"/>
  <c r="E63" i="28"/>
  <c r="D63" i="28"/>
  <c r="C63" i="28"/>
  <c r="G62" i="28"/>
  <c r="F62" i="28"/>
  <c r="E62" i="28"/>
  <c r="D62" i="28"/>
  <c r="C62" i="28"/>
  <c r="G61" i="28"/>
  <c r="F61" i="28"/>
  <c r="E61" i="28"/>
  <c r="D61" i="28"/>
  <c r="C61" i="28"/>
  <c r="G60" i="28"/>
  <c r="F60" i="28"/>
  <c r="E60" i="28"/>
  <c r="D60" i="28"/>
  <c r="C60" i="28"/>
  <c r="G59" i="28"/>
  <c r="F59" i="28"/>
  <c r="E59" i="28"/>
  <c r="D59" i="28"/>
  <c r="C59" i="28"/>
  <c r="G58" i="28"/>
  <c r="F58" i="28"/>
  <c r="E58" i="28"/>
  <c r="D58" i="28"/>
  <c r="C58" i="28"/>
  <c r="G57" i="28"/>
  <c r="F57" i="28"/>
  <c r="E57" i="28"/>
  <c r="D57" i="28"/>
  <c r="C57" i="28"/>
  <c r="G56" i="28"/>
  <c r="F56" i="28"/>
  <c r="E56" i="28"/>
  <c r="D56" i="28"/>
  <c r="C56" i="28"/>
  <c r="G55" i="28"/>
  <c r="F55" i="28"/>
  <c r="E55" i="28"/>
  <c r="D55" i="28"/>
  <c r="C55" i="28"/>
  <c r="G54" i="28"/>
  <c r="F54" i="28"/>
  <c r="E54" i="28"/>
  <c r="D54" i="28"/>
  <c r="C54" i="28"/>
  <c r="G53" i="28"/>
  <c r="F53" i="28"/>
  <c r="E53" i="28"/>
  <c r="D53" i="28"/>
  <c r="C53" i="28"/>
  <c r="G52" i="28"/>
  <c r="F52" i="28"/>
  <c r="E52" i="28"/>
  <c r="D52" i="28"/>
  <c r="C52" i="28"/>
  <c r="G51" i="28"/>
  <c r="F51" i="28"/>
  <c r="E51" i="28"/>
  <c r="D51" i="28"/>
  <c r="C51" i="28"/>
  <c r="G50" i="28"/>
  <c r="F50" i="28"/>
  <c r="E50" i="28"/>
  <c r="D50" i="28"/>
  <c r="C50" i="28"/>
  <c r="G49" i="28"/>
  <c r="F49" i="28"/>
  <c r="E49" i="28"/>
  <c r="D49" i="28"/>
  <c r="C49" i="28"/>
  <c r="G48" i="28"/>
  <c r="F48" i="28"/>
  <c r="E48" i="28"/>
  <c r="D48" i="28"/>
  <c r="C48" i="28"/>
  <c r="G47" i="28"/>
  <c r="F47" i="28"/>
  <c r="E47" i="28"/>
  <c r="D47" i="28"/>
  <c r="C47" i="28"/>
  <c r="G46" i="28"/>
  <c r="F46" i="28"/>
  <c r="E46" i="28"/>
  <c r="D46" i="28"/>
  <c r="C46" i="28"/>
  <c r="G45" i="28"/>
  <c r="F45" i="28"/>
  <c r="E45" i="28"/>
  <c r="D45" i="28"/>
  <c r="C45" i="28"/>
  <c r="G44" i="28"/>
  <c r="F44" i="28"/>
  <c r="E44" i="28"/>
  <c r="D44" i="28"/>
  <c r="C44" i="28"/>
  <c r="G43" i="28"/>
  <c r="F43" i="28"/>
  <c r="E43" i="28"/>
  <c r="D43" i="28"/>
  <c r="C43" i="28"/>
  <c r="G42" i="28"/>
  <c r="F42" i="28"/>
  <c r="E42" i="28"/>
  <c r="D42" i="28"/>
  <c r="C42" i="28"/>
  <c r="G41" i="28"/>
  <c r="F41" i="28"/>
  <c r="E41" i="28"/>
  <c r="D41" i="28"/>
  <c r="C41" i="28"/>
  <c r="G40" i="28"/>
  <c r="F40" i="28"/>
  <c r="E40" i="28"/>
  <c r="D40" i="28"/>
  <c r="C40" i="28"/>
  <c r="G39" i="28"/>
  <c r="F39" i="28"/>
  <c r="E39" i="28"/>
  <c r="D39" i="28"/>
  <c r="C39" i="28"/>
  <c r="G38" i="28"/>
  <c r="F38" i="28"/>
  <c r="E38" i="28"/>
  <c r="D38" i="28"/>
  <c r="C38" i="28"/>
  <c r="G37" i="28"/>
  <c r="F37" i="28"/>
  <c r="E37" i="28"/>
  <c r="D37" i="28"/>
  <c r="C37" i="28"/>
  <c r="G36" i="28"/>
  <c r="F36" i="28"/>
  <c r="E36" i="28"/>
  <c r="D36" i="28"/>
  <c r="C36" i="28"/>
  <c r="G35" i="28"/>
  <c r="F35" i="28"/>
  <c r="E35" i="28"/>
  <c r="D35" i="28"/>
  <c r="C35" i="28"/>
  <c r="G34" i="28"/>
  <c r="F34" i="28"/>
  <c r="E34" i="28"/>
  <c r="D34" i="28"/>
  <c r="C34" i="28"/>
  <c r="G33" i="28"/>
  <c r="F33" i="28"/>
  <c r="E33" i="28"/>
  <c r="D33" i="28"/>
  <c r="C33" i="28"/>
  <c r="G32" i="28"/>
  <c r="F32" i="28"/>
  <c r="E32" i="28"/>
  <c r="D32" i="28"/>
  <c r="C32" i="28"/>
  <c r="G31" i="28"/>
  <c r="F31" i="28"/>
  <c r="E31" i="28"/>
  <c r="D31" i="28"/>
  <c r="C31" i="28"/>
  <c r="G30" i="28"/>
  <c r="F30" i="28"/>
  <c r="E30" i="28"/>
  <c r="D30" i="28"/>
  <c r="C30" i="28"/>
  <c r="G29" i="28"/>
  <c r="F29" i="28"/>
  <c r="E29" i="28"/>
  <c r="D29" i="28"/>
  <c r="C29" i="28"/>
  <c r="G28" i="28"/>
  <c r="F28" i="28"/>
  <c r="E28" i="28"/>
  <c r="D28" i="28"/>
  <c r="C28" i="28"/>
  <c r="G27" i="28"/>
  <c r="F27" i="28"/>
  <c r="E27" i="28"/>
  <c r="D27" i="28"/>
  <c r="C27" i="28"/>
  <c r="G26" i="28"/>
  <c r="F26" i="28"/>
  <c r="E26" i="28"/>
  <c r="D26" i="28"/>
  <c r="C26" i="28"/>
  <c r="G25" i="28"/>
  <c r="F25" i="28"/>
  <c r="E25" i="28"/>
  <c r="D25" i="28"/>
  <c r="C25" i="28"/>
  <c r="G24" i="28"/>
  <c r="F24" i="28"/>
  <c r="E24" i="28"/>
  <c r="D24" i="28"/>
  <c r="C24" i="28"/>
  <c r="G23" i="28"/>
  <c r="F23" i="28"/>
  <c r="E23" i="28"/>
  <c r="D23" i="28"/>
  <c r="C23" i="28"/>
  <c r="G22" i="28"/>
  <c r="F22" i="28"/>
  <c r="E22" i="28"/>
  <c r="D22" i="28"/>
  <c r="C22" i="28"/>
  <c r="G21" i="28"/>
  <c r="F21" i="28"/>
  <c r="E21" i="28"/>
  <c r="D21" i="28"/>
  <c r="C21" i="28"/>
  <c r="G20" i="28"/>
  <c r="F20" i="28"/>
  <c r="E20" i="28"/>
  <c r="D20" i="28"/>
  <c r="C20" i="28"/>
  <c r="G19" i="28"/>
  <c r="F19" i="28"/>
  <c r="E19" i="28"/>
  <c r="D19" i="28"/>
  <c r="C19" i="28"/>
  <c r="G18" i="28"/>
  <c r="F18" i="28"/>
  <c r="E18" i="28"/>
  <c r="D18" i="28"/>
  <c r="C18" i="28"/>
  <c r="G17" i="28"/>
  <c r="F17" i="28"/>
  <c r="E17" i="28"/>
  <c r="D17" i="28"/>
  <c r="C17" i="28"/>
  <c r="G16" i="28"/>
  <c r="F16" i="28"/>
  <c r="E16" i="28"/>
  <c r="D16" i="28"/>
  <c r="C16" i="28"/>
  <c r="G15" i="28"/>
  <c r="F15" i="28"/>
  <c r="E15" i="28"/>
  <c r="D15" i="28"/>
  <c r="C15" i="28"/>
  <c r="G14" i="28"/>
  <c r="F14" i="28"/>
  <c r="E14" i="28"/>
  <c r="D14" i="28"/>
  <c r="C14" i="28"/>
  <c r="G13" i="28"/>
  <c r="F13" i="28"/>
  <c r="E13" i="28"/>
  <c r="D13" i="28"/>
  <c r="C13" i="28"/>
  <c r="G12" i="28"/>
  <c r="F12" i="28"/>
  <c r="E12" i="28"/>
  <c r="D12" i="28"/>
  <c r="C12" i="28"/>
  <c r="B30" i="28"/>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G11" i="28"/>
  <c r="F11" i="28"/>
  <c r="E11" i="28"/>
  <c r="D11" i="28"/>
  <c r="C11" i="28"/>
  <c r="B30" i="20" l="1"/>
  <c r="B31" i="20" s="1"/>
  <c r="B32" i="20" s="1"/>
  <c r="B33" i="20" s="1"/>
  <c r="B34" i="20" s="1"/>
  <c r="B35" i="20" s="1"/>
  <c r="B36" i="20" s="1"/>
  <c r="B37" i="20" s="1"/>
  <c r="B38" i="20" s="1"/>
  <c r="B39" i="20" s="1"/>
  <c r="B40" i="20" s="1"/>
  <c r="B41" i="20" s="1"/>
  <c r="B42" i="20" s="1"/>
  <c r="B43" i="20" s="1"/>
  <c r="E9" i="12"/>
  <c r="E12" i="12"/>
  <c r="D12" i="12"/>
  <c r="E11" i="12"/>
  <c r="H11" i="12" s="1"/>
  <c r="D11" i="12"/>
  <c r="G11" i="12" s="1"/>
  <c r="E10" i="12"/>
  <c r="D10" i="12"/>
  <c r="D9" i="12"/>
  <c r="E8" i="12"/>
  <c r="D8" i="12"/>
  <c r="C12" i="12"/>
  <c r="C11" i="12"/>
  <c r="E26" i="39" l="1"/>
  <c r="E26" i="30"/>
  <c r="E26" i="35"/>
  <c r="E26" i="37"/>
  <c r="H12" i="12"/>
  <c r="G12" i="12"/>
  <c r="B44" i="20"/>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F12" i="12"/>
  <c r="F11" i="12"/>
  <c r="E28" i="39" l="1"/>
  <c r="E30" i="39" s="1"/>
  <c r="F30" i="39" s="1"/>
  <c r="F33" i="39" s="1"/>
  <c r="E28" i="30"/>
  <c r="E30" i="30" s="1"/>
  <c r="F30" i="30" s="1"/>
  <c r="F33" i="30" s="1"/>
  <c r="E28" i="37"/>
  <c r="E30" i="37" s="1"/>
  <c r="F30" i="37" s="1"/>
  <c r="F33" i="37" s="1"/>
  <c r="E28" i="35"/>
  <c r="E30" i="35" s="1"/>
  <c r="F30" i="35" s="1"/>
  <c r="F33" i="35" s="1"/>
  <c r="E26" i="36"/>
  <c r="E26" i="34"/>
  <c r="G16" i="19"/>
  <c r="S42" i="19" s="1"/>
  <c r="F16" i="19"/>
  <c r="E16" i="19"/>
  <c r="G15" i="19"/>
  <c r="F15" i="19"/>
  <c r="E15" i="19"/>
  <c r="G14" i="19"/>
  <c r="F14" i="19"/>
  <c r="E14" i="19"/>
  <c r="G13" i="19"/>
  <c r="F13" i="19"/>
  <c r="E13" i="19"/>
  <c r="F12" i="19"/>
  <c r="E12" i="19"/>
  <c r="D16" i="19"/>
  <c r="D15" i="19"/>
  <c r="D14" i="19"/>
  <c r="D13" i="19"/>
  <c r="D12" i="19"/>
  <c r="C10" i="12"/>
  <c r="C9" i="12"/>
  <c r="C8" i="12"/>
  <c r="B9" i="12"/>
  <c r="B10" i="12" s="1"/>
  <c r="E28" i="36" l="1"/>
  <c r="E30" i="36" s="1"/>
  <c r="F30" i="36" s="1"/>
  <c r="F33" i="36" s="1"/>
  <c r="E28" i="34"/>
  <c r="E30" i="34" s="1"/>
  <c r="F30" i="34" s="1"/>
  <c r="F33" i="34" s="1"/>
  <c r="Y17" i="33"/>
  <c r="S11" i="19"/>
  <c r="T42" i="19" s="1"/>
  <c r="U42" i="19" s="1"/>
  <c r="H15" i="19"/>
  <c r="I15" i="19" s="1"/>
  <c r="H14" i="19"/>
  <c r="I14" i="19" s="1"/>
  <c r="H13" i="19"/>
  <c r="I13" i="19" s="1"/>
  <c r="G12" i="19"/>
  <c r="H12" i="19"/>
  <c r="H16" i="19"/>
  <c r="I16" i="19" s="1"/>
  <c r="H8" i="12"/>
  <c r="F10" i="12"/>
  <c r="F8" i="12"/>
  <c r="G10" i="12"/>
  <c r="F9" i="12"/>
  <c r="H9" i="12"/>
  <c r="H13" i="12" s="1"/>
  <c r="H10" i="12"/>
  <c r="G9" i="12"/>
  <c r="G8" i="12"/>
  <c r="N39" i="33" l="1"/>
  <c r="N40" i="33"/>
  <c r="V17" i="33"/>
  <c r="G13" i="12"/>
  <c r="I12" i="19"/>
  <c r="S12" i="19"/>
  <c r="S13" i="19" s="1"/>
  <c r="S14" i="19" s="1"/>
  <c r="S15" i="19" s="1"/>
  <c r="S16" i="19" s="1"/>
  <c r="S17" i="19" s="1"/>
  <c r="S18" i="19" s="1"/>
  <c r="S19" i="19" s="1"/>
  <c r="S21" i="19" s="1"/>
  <c r="S22" i="19" s="1"/>
  <c r="S23" i="19" s="1"/>
  <c r="S24" i="19" s="1"/>
  <c r="S25" i="19" s="1"/>
  <c r="S26" i="19" s="1"/>
  <c r="S27" i="19" s="1"/>
  <c r="S28" i="19" s="1"/>
  <c r="S29" i="19" s="1"/>
  <c r="S30" i="19" s="1"/>
  <c r="S31" i="19" s="1"/>
  <c r="S32" i="19" s="1"/>
  <c r="S33" i="19" s="1"/>
  <c r="S34" i="19" s="1"/>
  <c r="S35" i="19" s="1"/>
  <c r="S36" i="19" s="1"/>
  <c r="S37" i="19" s="1"/>
  <c r="S38" i="19" s="1"/>
  <c r="S39" i="19" s="1"/>
  <c r="S40" i="19" s="1"/>
  <c r="S41" i="19" s="1"/>
  <c r="D72" i="28"/>
  <c r="E76" i="28"/>
  <c r="E75" i="28"/>
  <c r="E73" i="28"/>
  <c r="E74" i="28"/>
  <c r="C74" i="28"/>
  <c r="C73" i="28"/>
  <c r="C76" i="28"/>
  <c r="C75" i="28"/>
  <c r="G74" i="28"/>
  <c r="G73" i="28"/>
  <c r="G76" i="28"/>
  <c r="G75" i="28"/>
  <c r="D76" i="28"/>
  <c r="D75" i="28"/>
  <c r="D74" i="28"/>
  <c r="F75" i="28"/>
  <c r="F74" i="28"/>
  <c r="F73" i="28"/>
  <c r="F72" i="28"/>
  <c r="F76" i="28"/>
  <c r="F13" i="12"/>
  <c r="K39" i="33" l="1"/>
  <c r="K40" i="33"/>
  <c r="D73" i="28"/>
  <c r="E30" i="19" l="1"/>
  <c r="F30" i="19" s="1"/>
  <c r="F33" i="19" s="1"/>
  <c r="S17" i="33" s="1"/>
  <c r="H40" i="33" l="1"/>
  <c r="H39" i="33"/>
  <c r="A3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000-000001000000}">
      <text>
        <r>
          <rPr>
            <b/>
            <sz val="9"/>
            <color indexed="81"/>
            <rFont val="Tahoma"/>
            <family val="2"/>
          </rPr>
          <t>juane:</t>
        </r>
        <r>
          <rPr>
            <sz val="9"/>
            <color indexed="81"/>
            <rFont val="Tahoma"/>
            <family val="2"/>
          </rPr>
          <t xml:space="preserve">
1=Masculino,  2=Femenino
</t>
        </r>
      </text>
    </comment>
    <comment ref="D28" authorId="0" shapeId="0" xr:uid="{00000000-0006-0000-0000-000002000000}">
      <text>
        <r>
          <rPr>
            <b/>
            <sz val="9"/>
            <color indexed="81"/>
            <rFont val="Tahoma"/>
            <family val="2"/>
          </rPr>
          <t>juane:</t>
        </r>
        <r>
          <rPr>
            <sz val="9"/>
            <color indexed="81"/>
            <rFont val="Tahoma"/>
            <family val="2"/>
          </rPr>
          <t xml:space="preserve">
MUNDIAL Ó
CA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B4" authorId="0" shapeId="0" xr:uid="{00000000-0006-0000-0D00-000001000000}">
      <text>
        <r>
          <rPr>
            <b/>
            <sz val="9"/>
            <color indexed="81"/>
            <rFont val="Tahoma"/>
            <family val="2"/>
          </rPr>
          <t>juane:</t>
        </r>
        <r>
          <rPr>
            <sz val="9"/>
            <color indexed="81"/>
            <rFont val="Tahoma"/>
            <family val="2"/>
          </rPr>
          <t xml:space="preserve">
Factores determinados con base en cotizaciones de pólizas de salud indiividual del mercado de Seguros de El Salvador.
</t>
        </r>
      </text>
    </comment>
    <comment ref="C42" authorId="0" shapeId="0" xr:uid="{00000000-0006-0000-0D00-000002000000}">
      <text>
        <r>
          <rPr>
            <b/>
            <sz val="9"/>
            <color indexed="81"/>
            <rFont val="Tahoma"/>
            <family val="2"/>
          </rPr>
          <t>juane:</t>
        </r>
        <r>
          <rPr>
            <sz val="9"/>
            <color indexed="81"/>
            <rFont val="Tahoma"/>
            <family val="2"/>
          </rPr>
          <t xml:space="preserve">
A partir de esta edad, los factores de prima de riesgo aumentan de manera sistemática en funciión de la edad; se tomó de referencia las primas del mercado, con la diferencia que ATLANTIDA VIDA, S.A. utilizó rango inferior y superior del mercado para luego establecer un crecimiento lineal a efecto de evitar los incrementos de primas por cambio de rango de edad.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B4" authorId="0" shapeId="0" xr:uid="{00000000-0006-0000-0E00-000001000000}">
      <text>
        <r>
          <rPr>
            <b/>
            <sz val="9"/>
            <color indexed="81"/>
            <rFont val="Tahoma"/>
            <family val="2"/>
          </rPr>
          <t>juane:</t>
        </r>
        <r>
          <rPr>
            <sz val="9"/>
            <color indexed="81"/>
            <rFont val="Tahoma"/>
            <family val="2"/>
          </rPr>
          <t xml:space="preserve">
Factores determinados con base en cotizaciones de pólizas de salud indiividual del mercado de Seguros de El Salvador.
</t>
        </r>
      </text>
    </comment>
    <comment ref="C42" authorId="0" shapeId="0" xr:uid="{00000000-0006-0000-0E00-000002000000}">
      <text>
        <r>
          <rPr>
            <b/>
            <sz val="9"/>
            <color indexed="81"/>
            <rFont val="Tahoma"/>
            <family val="2"/>
          </rPr>
          <t>juane:</t>
        </r>
        <r>
          <rPr>
            <sz val="9"/>
            <color indexed="81"/>
            <rFont val="Tahoma"/>
            <family val="2"/>
          </rPr>
          <t xml:space="preserve">
A partir de esta edad, los factores de prima de riesgo aumentan de manera sistemática en funciión de la edad; se tomó de referencia las primas del mercado, con la diferencia que ATLANTIDA VIDA, S.A. utilizó rango inferior y superior del mercado para luego establecer un crecimiento lineal a efecto de evitar los incrementos de primas por cambio de rango de edad.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100-000001000000}">
      <text>
        <r>
          <rPr>
            <b/>
            <sz val="9"/>
            <color indexed="81"/>
            <rFont val="Tahoma"/>
            <family val="2"/>
          </rPr>
          <t>juane:</t>
        </r>
        <r>
          <rPr>
            <sz val="9"/>
            <color indexed="81"/>
            <rFont val="Tahoma"/>
            <family val="2"/>
          </rPr>
          <t xml:space="preserve">
1=Masculino,  2=Femenino
</t>
        </r>
      </text>
    </comment>
    <comment ref="D28" authorId="0" shapeId="0" xr:uid="{00000000-0006-0000-0100-000002000000}">
      <text>
        <r>
          <rPr>
            <b/>
            <sz val="9"/>
            <color indexed="81"/>
            <rFont val="Tahoma"/>
            <family val="2"/>
          </rPr>
          <t>juane:</t>
        </r>
        <r>
          <rPr>
            <sz val="9"/>
            <color indexed="81"/>
            <rFont val="Tahoma"/>
            <family val="2"/>
          </rPr>
          <t xml:space="preserve">
MUNDIAL Ó
CA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200-000001000000}">
      <text>
        <r>
          <rPr>
            <b/>
            <sz val="9"/>
            <color indexed="81"/>
            <rFont val="Tahoma"/>
            <family val="2"/>
          </rPr>
          <t>juane:</t>
        </r>
        <r>
          <rPr>
            <sz val="9"/>
            <color indexed="81"/>
            <rFont val="Tahoma"/>
            <family val="2"/>
          </rPr>
          <t xml:space="preserve">
1=Masculino,  2=Femenino
</t>
        </r>
      </text>
    </comment>
    <comment ref="D28" authorId="0" shapeId="0" xr:uid="{00000000-0006-0000-0200-000002000000}">
      <text>
        <r>
          <rPr>
            <b/>
            <sz val="9"/>
            <color indexed="81"/>
            <rFont val="Tahoma"/>
            <family val="2"/>
          </rPr>
          <t>juane:</t>
        </r>
        <r>
          <rPr>
            <sz val="9"/>
            <color indexed="81"/>
            <rFont val="Tahoma"/>
            <family val="2"/>
          </rPr>
          <t xml:space="preserve">
MUNDIAL Ó
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300-000001000000}">
      <text>
        <r>
          <rPr>
            <b/>
            <sz val="9"/>
            <color indexed="81"/>
            <rFont val="Tahoma"/>
            <family val="2"/>
          </rPr>
          <t>juane:</t>
        </r>
        <r>
          <rPr>
            <sz val="9"/>
            <color indexed="81"/>
            <rFont val="Tahoma"/>
            <family val="2"/>
          </rPr>
          <t xml:space="preserve">
1=Masculino,  2=Femenino
</t>
        </r>
      </text>
    </comment>
    <comment ref="D28" authorId="0" shapeId="0" xr:uid="{00000000-0006-0000-0300-000002000000}">
      <text>
        <r>
          <rPr>
            <b/>
            <sz val="9"/>
            <color indexed="81"/>
            <rFont val="Tahoma"/>
            <family val="2"/>
          </rPr>
          <t>juane:</t>
        </r>
        <r>
          <rPr>
            <sz val="9"/>
            <color indexed="81"/>
            <rFont val="Tahoma"/>
            <family val="2"/>
          </rPr>
          <t xml:space="preserve">
MUNDIAL Ó
CA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400-000001000000}">
      <text>
        <r>
          <rPr>
            <b/>
            <sz val="9"/>
            <color indexed="81"/>
            <rFont val="Tahoma"/>
            <family val="2"/>
          </rPr>
          <t>juane:</t>
        </r>
        <r>
          <rPr>
            <sz val="9"/>
            <color indexed="81"/>
            <rFont val="Tahoma"/>
            <family val="2"/>
          </rPr>
          <t xml:space="preserve">
1=Masculino,  2=Femenino
</t>
        </r>
      </text>
    </comment>
    <comment ref="D28" authorId="0" shapeId="0" xr:uid="{00000000-0006-0000-0400-000002000000}">
      <text>
        <r>
          <rPr>
            <b/>
            <sz val="9"/>
            <color indexed="81"/>
            <rFont val="Tahoma"/>
            <family val="2"/>
          </rPr>
          <t>juane:</t>
        </r>
        <r>
          <rPr>
            <sz val="9"/>
            <color indexed="81"/>
            <rFont val="Tahoma"/>
            <family val="2"/>
          </rPr>
          <t xml:space="preserve">
MUNDIAL Ó
CA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500-000001000000}">
      <text>
        <r>
          <rPr>
            <b/>
            <sz val="9"/>
            <color indexed="81"/>
            <rFont val="Tahoma"/>
            <family val="2"/>
          </rPr>
          <t>juane:</t>
        </r>
        <r>
          <rPr>
            <sz val="9"/>
            <color indexed="81"/>
            <rFont val="Tahoma"/>
            <family val="2"/>
          </rPr>
          <t xml:space="preserve">
1=Masculino,  2=Femenino
</t>
        </r>
      </text>
    </comment>
    <comment ref="D28" authorId="0" shapeId="0" xr:uid="{00000000-0006-0000-0500-000002000000}">
      <text>
        <r>
          <rPr>
            <b/>
            <sz val="9"/>
            <color indexed="81"/>
            <rFont val="Tahoma"/>
            <family val="2"/>
          </rPr>
          <t>juane:</t>
        </r>
        <r>
          <rPr>
            <sz val="9"/>
            <color indexed="81"/>
            <rFont val="Tahoma"/>
            <family val="2"/>
          </rPr>
          <t xml:space="preserve">
MUNDIAL Ó
CA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600-000001000000}">
      <text>
        <r>
          <rPr>
            <b/>
            <sz val="9"/>
            <color indexed="81"/>
            <rFont val="Tahoma"/>
            <family val="2"/>
          </rPr>
          <t>juane:</t>
        </r>
        <r>
          <rPr>
            <sz val="9"/>
            <color indexed="81"/>
            <rFont val="Tahoma"/>
            <family val="2"/>
          </rPr>
          <t xml:space="preserve">
1=Masculino,  2=Femenino
</t>
        </r>
      </text>
    </comment>
    <comment ref="D28" authorId="0" shapeId="0" xr:uid="{00000000-0006-0000-0600-000002000000}">
      <text>
        <r>
          <rPr>
            <b/>
            <sz val="9"/>
            <color indexed="81"/>
            <rFont val="Tahoma"/>
            <family val="2"/>
          </rPr>
          <t>juane:</t>
        </r>
        <r>
          <rPr>
            <sz val="9"/>
            <color indexed="81"/>
            <rFont val="Tahoma"/>
            <family val="2"/>
          </rPr>
          <t xml:space="preserve">
MUNDIAL Ó
CA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700-000001000000}">
      <text>
        <r>
          <rPr>
            <b/>
            <sz val="9"/>
            <color indexed="81"/>
            <rFont val="Tahoma"/>
            <family val="2"/>
          </rPr>
          <t>juane:</t>
        </r>
        <r>
          <rPr>
            <sz val="9"/>
            <color indexed="81"/>
            <rFont val="Tahoma"/>
            <family val="2"/>
          </rPr>
          <t xml:space="preserve">
1=Masculino,  2=Femenino
</t>
        </r>
      </text>
    </comment>
    <comment ref="D28" authorId="0" shapeId="0" xr:uid="{00000000-0006-0000-0700-000002000000}">
      <text>
        <r>
          <rPr>
            <b/>
            <sz val="9"/>
            <color indexed="81"/>
            <rFont val="Tahoma"/>
            <family val="2"/>
          </rPr>
          <t>juane:</t>
        </r>
        <r>
          <rPr>
            <sz val="9"/>
            <color indexed="81"/>
            <rFont val="Tahoma"/>
            <family val="2"/>
          </rPr>
          <t xml:space="preserve">
MUNDIAL Ó
CA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juane</author>
  </authors>
  <commentList>
    <comment ref="D21" authorId="0" shapeId="0" xr:uid="{00000000-0006-0000-0800-000001000000}">
      <text>
        <r>
          <rPr>
            <b/>
            <sz val="9"/>
            <color indexed="81"/>
            <rFont val="Tahoma"/>
            <family val="2"/>
          </rPr>
          <t>juane:</t>
        </r>
        <r>
          <rPr>
            <sz val="9"/>
            <color indexed="81"/>
            <rFont val="Tahoma"/>
            <family val="2"/>
          </rPr>
          <t xml:space="preserve">
1=Masculino,  2=Femenino
</t>
        </r>
      </text>
    </comment>
    <comment ref="D28" authorId="0" shapeId="0" xr:uid="{00000000-0006-0000-0800-000002000000}">
      <text>
        <r>
          <rPr>
            <b/>
            <sz val="9"/>
            <color indexed="81"/>
            <rFont val="Tahoma"/>
            <family val="2"/>
          </rPr>
          <t>juane:</t>
        </r>
        <r>
          <rPr>
            <sz val="9"/>
            <color indexed="81"/>
            <rFont val="Tahoma"/>
            <family val="2"/>
          </rPr>
          <t xml:space="preserve">
MUNDIAL Ó
CA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ión11" type="1" refreshedVersion="0" savePassword="1" saveData="1">
    <dbPr connection="DBQ=C:\super\super.mdb;DefaultDir=C:\super;Driver={Microsoft Access Driver (*.mdb)};DriverId=25;FIL=MS Access;ImplicitCommitSync=Yes;MaxBufferSize=512;MaxScanRows=8;PageTimeout=5;SafeTransactions=0;Threads=3;UserCommitSync=Yes;" command="SELECT `cuadro 45`.SumaDeEAP1_1_A, `cuadro 45`.SumaDeEAP1_2_A, `cuadro 45`.SumaDeEAP1_3_A, `cuadro 45`.SumaDeEAP1_4_A, `cuadro 45`.SumaDeEAP1_5_A, `cuadro 45`.SumaDeEAP1_6_A, `cuadro 45`.SumaDeEAP1_7_A, `cuadro 45`.SumaDeEAP1_8_A, `cuadro 45`.SumaDeEAP1_9_A, `cuadro 45`.SumaDeEAP1_10_A, `cuadro 45`.SumaDeEAP1_11_A, `cuadro 45`.SumaDeEAP1_12_A, `cuadro 45`.SumaDeEAP1_13_A, `cuadro 45`.SumaDeEAP1_14_A, `cuadro 45`.SumaDeEAP1_15_A, `cuadro 45`.SumaDeEAP1_16_A, `cuadro 45`.SumaDeEAP1_1_B, `cuadro 45`.SumaDeEAP1_2_B, `cuadro 45`.SumaDeEAP1_3_B, `cuadro 45`.SumaDeEAP1_4_B, `cuadro 45`.SumaDeEAP1_5_B, `cuadro 45`.SumaDeEAP1_6_B, `cuadro 45`.SumaDeEAP1_7_B, `cuadro 45`.SumaDeEAP1_8_B, `cuadro 45`.SumaDeEAP1_9_B, `cuadro 45`.SumaDeEAP1_10_B, `cuadro 45`.SumaDeEAP1_11_B, `cuadro 45`.SumaDeEAP1_12_B, `cuadro 45`.SumaDeEAP1_13_B, `cuadro 45`.SumaDeEAP1_14_B, `cuadro 45`.SumaDeEAP1_15_B, `cuadro 45`.SumaDeEAP1_16_B, `cuadro 45`.SumaDeEAP1_1_C, `cuadro 45`.SumaDeEAP1_2_C, `cuadro 45`.SumaDeEAP1_3_C, `cuadro 45`.SumaDeEAP1_4_C, `cuadro 45`.SumaDeEAP1_5_C, `cuadro 45`.SumaDeEAP1_6_C, `cuadro 45`.SumaDeEAP1_7_C, `cuadro 45`.SumaDeEAP1_8_C, `cuadro 45`.SumaDeEAP1_9_C, `cuadro 45`.SumaDeEAP1_10_C, `cuadro 45`.SumaDeEAP1_11_C, `cuadro 45`.SumaDeEAP1_12_C, `cuadro 45`.SumaDeEAP1_13_C, `cuadro 45`.SumaDeEAP1_14_C, `cuadro 45`.SumaDeEAP1_15_C, `cuadro 45`.SumaDeEAP1_16_C, `cuadro 45`.SumaDeEAP1_1_D, `cuadro 45`.SumaDeEAP1_2_D, `cuadro 45`.SumaDeEAP1_3_D, `cuadro 45`.SumaDeEAP1_4_D, `cuadro 45`.SumaDeEAP1_5_D, `cuadro 45`.SumaDeEAP1_6_D, `cuadro 45`.SumaDeEAP1_7_D, `cuadro 45`.SumaDeEAP1_8_D, `cuadro 45`.SumaDeEAP1_9_D, `cuadro 45`.SumaDeEAP1_10_D, `cuadro 45`.SumaDeEAP1_11_D, `cuadro 45`.SumaDeEAP1_12_D, `cuadro 45`.SumaDeEAP1_13_D, `cuadro 45`.SumaDeEAP1_14_D, `cuadro 45`.SumaDeEAP1_15_D, `cuadro 45`.SumaDeEAP1_16_D, `cuadro 45`.SumaDeEAP1_1_E, `cuadro 45`.SumaDeEAP1_2_E, `cuadro 45`.SumaDeEAP1_3_E, `cuadro 45`.SumaDeEAP1_4_E, `cuadro 45`.SumaDeEAP1_5_E, `cuadro 45`.SumaDeEAP1_6_E, `cuadro 45`.SumaDeEAP1_7_E, `cuadro 45`.SumaDeEAP1_8_E, `cuadro 45`.SumaDeEAP1_9_E, `cuadro 45`.SumaDeEAP1_10_E, `cuadro 45`.SumaDeEAP1_11_E, `cuadro 45`.SumaDeEAP1_12_E, `cuadro 45`.SumaDeEAP1_13_E, `cuadro 45`.SumaDeEAP1_14_E, `cuadro 45`.SumaDeEAP1_15_E, `cuadro 45`.SumaDeEAP1_16_E, `cuadro 45`.SumaDeEAP1_1_F, `cuadro 45`.SumaDeEAP1_2_F, `cuadro 45`.SumaDeEAP1_3_F, `cuadro 45`.SumaDeEAP1_4_F, `cuadro 45`.SumaDeEAP1_5_F, `cuadro 45`.SumaDeEAP1_6_F, `cuadro 45`.SumaDeEAP1_7_F, `cuadro 45`.SumaDeEAP1_8_F, `cuadro 45`.SumaDeEAP1_9_F, `cuadro 45`.SumaDeEAP1_10_F, `cuadro 45`.SumaDeEAP1_11_F, `cuadro 45`.SumaDeEAP1_12_F, `cuadro 45`.SumaDeEAP1_13_F, `cuadro 45`.SumaDeEAP1_14_F, `cuadro 45`.SumaDeEAP1_15_F, `cuadro 45`.SumaDeEAP1_16_F_x000d__x000a_FROM `C:\super\SUPER`.`cuadro 45` `cuadro 45`"/>
    <extLst>
      <ext xmlns:x15="http://schemas.microsoft.com/office/spreadsheetml/2010/11/main" uri="{DE250136-89BD-433C-8126-D09CA5730AF9}">
        <x15:connection id="" excludeFromRefreshAll="1"/>
      </ext>
    </extLst>
  </connection>
  <connection id="2" xr16:uid="{00000000-0015-0000-FFFF-FFFF01000000}" name="Conexión110" type="1" refreshedVersion="0" savePassword="1" saveData="1">
    <dbPr connection="DBQ=C:\super\super.mdb;DefaultDir=C:\super;Driver={Microsoft Access Driver (*.mdb)};DriverId=25;FIL=MS Access;ImplicitCommitSync=Yes;MaxBufferSize=512;MaxScanRows=8;PageTimeout=5;SafeTransactions=0;Threads=3;UserCommitSync=Yes;" command="SELECT `cuadro 45`.SumaDeEAP1_1_A, `cuadro 45`.SumaDeEAP1_2_A, `cuadro 45`.SumaDeEAP1_3_A, `cuadro 45`.SumaDeEAP1_4_A, `cuadro 45`.SumaDeEAP1_5_A, `cuadro 45`.SumaDeEAP1_6_A, `cuadro 45`.SumaDeEAP1_7_A, `cuadro 45`.SumaDeEAP1_8_A, `cuadro 45`.SumaDeEAP1_9_A, `cuadro 45`.SumaDeEAP1_10_A, `cuadro 45`.SumaDeEAP1_11_A, `cuadro 45`.SumaDeEAP1_12_A, `cuadro 45`.SumaDeEAP1_13_A, `cuadro 45`.SumaDeEAP1_14_A, `cuadro 45`.SumaDeEAP1_15_A, `cuadro 45`.SumaDeEAP1_16_A, `cuadro 45`.SumaDeEAP1_1_B, `cuadro 45`.SumaDeEAP1_2_B, `cuadro 45`.SumaDeEAP1_3_B, `cuadro 45`.SumaDeEAP1_4_B, `cuadro 45`.SumaDeEAP1_5_B, `cuadro 45`.SumaDeEAP1_6_B, `cuadro 45`.SumaDeEAP1_7_B, `cuadro 45`.SumaDeEAP1_8_B, `cuadro 45`.SumaDeEAP1_9_B, `cuadro 45`.SumaDeEAP1_10_B, `cuadro 45`.SumaDeEAP1_11_B, `cuadro 45`.SumaDeEAP1_12_B, `cuadro 45`.SumaDeEAP1_13_B, `cuadro 45`.SumaDeEAP1_14_B, `cuadro 45`.SumaDeEAP1_15_B, `cuadro 45`.SumaDeEAP1_16_B, `cuadro 45`.SumaDeEAP1_1_C, `cuadro 45`.SumaDeEAP1_2_C, `cuadro 45`.SumaDeEAP1_3_C, `cuadro 45`.SumaDeEAP1_4_C, `cuadro 45`.SumaDeEAP1_5_C, `cuadro 45`.SumaDeEAP1_6_C, `cuadro 45`.SumaDeEAP1_7_C, `cuadro 45`.SumaDeEAP1_8_C, `cuadro 45`.SumaDeEAP1_9_C, `cuadro 45`.SumaDeEAP1_10_C, `cuadro 45`.SumaDeEAP1_11_C, `cuadro 45`.SumaDeEAP1_12_C, `cuadro 45`.SumaDeEAP1_13_C, `cuadro 45`.SumaDeEAP1_14_C, `cuadro 45`.SumaDeEAP1_15_C, `cuadro 45`.SumaDeEAP1_16_C, `cuadro 45`.SumaDeEAP1_1_D, `cuadro 45`.SumaDeEAP1_2_D, `cuadro 45`.SumaDeEAP1_3_D, `cuadro 45`.SumaDeEAP1_4_D, `cuadro 45`.SumaDeEAP1_5_D, `cuadro 45`.SumaDeEAP1_6_D, `cuadro 45`.SumaDeEAP1_7_D, `cuadro 45`.SumaDeEAP1_8_D, `cuadro 45`.SumaDeEAP1_9_D, `cuadro 45`.SumaDeEAP1_10_D, `cuadro 45`.SumaDeEAP1_11_D, `cuadro 45`.SumaDeEAP1_12_D, `cuadro 45`.SumaDeEAP1_13_D, `cuadro 45`.SumaDeEAP1_14_D, `cuadro 45`.SumaDeEAP1_15_D, `cuadro 45`.SumaDeEAP1_16_D, `cuadro 45`.SumaDeEAP1_1_E, `cuadro 45`.SumaDeEAP1_2_E, `cuadro 45`.SumaDeEAP1_3_E, `cuadro 45`.SumaDeEAP1_4_E, `cuadro 45`.SumaDeEAP1_5_E, `cuadro 45`.SumaDeEAP1_6_E, `cuadro 45`.SumaDeEAP1_7_E, `cuadro 45`.SumaDeEAP1_8_E, `cuadro 45`.SumaDeEAP1_9_E, `cuadro 45`.SumaDeEAP1_10_E, `cuadro 45`.SumaDeEAP1_11_E, `cuadro 45`.SumaDeEAP1_12_E, `cuadro 45`.SumaDeEAP1_13_E, `cuadro 45`.SumaDeEAP1_14_E, `cuadro 45`.SumaDeEAP1_15_E, `cuadro 45`.SumaDeEAP1_16_E, `cuadro 45`.SumaDeEAP1_1_F, `cuadro 45`.SumaDeEAP1_2_F, `cuadro 45`.SumaDeEAP1_3_F, `cuadro 45`.SumaDeEAP1_4_F, `cuadro 45`.SumaDeEAP1_5_F, `cuadro 45`.SumaDeEAP1_6_F, `cuadro 45`.SumaDeEAP1_7_F, `cuadro 45`.SumaDeEAP1_8_F, `cuadro 45`.SumaDeEAP1_9_F, `cuadro 45`.SumaDeEAP1_10_F, `cuadro 45`.SumaDeEAP1_11_F, `cuadro 45`.SumaDeEAP1_12_F, `cuadro 45`.SumaDeEAP1_13_F, `cuadro 45`.SumaDeEAP1_14_F, `cuadro 45`.SumaDeEAP1_15_F, `cuadro 45`.SumaDeEAP1_16_F_x000d__x000a_FROM `C:\super\SUPER`.`cuadro 45` `cuadro 45`"/>
    <extLst>
      <ext xmlns:x15="http://schemas.microsoft.com/office/spreadsheetml/2010/11/main" uri="{DE250136-89BD-433C-8126-D09CA5730AF9}">
        <x15:connection id="" excludeFromRefreshAll="1"/>
      </ext>
    </extLst>
  </connection>
  <connection id="3" xr16:uid="{00000000-0015-0000-FFFF-FFFF02000000}" name="Conexión12" type="1" refreshedVersion="0" savePassword="1" saveData="1">
    <dbPr connection="DBQ=C:\super\super.mdb;DefaultDir=C:\super;Driver={Microsoft Access Driver (*.mdb)};DriverId=25;FIL=MS Access;ImplicitCommitSync=Yes;MaxBufferSize=512;MaxScanRows=8;PageTimeout=5;SafeTransactions=0;Threads=3;UserCommitSync=Yes;" command="SELECT `cuadro 45`.SumaDeEAP1_1_A, `cuadro 45`.SumaDeEAP1_2_A, `cuadro 45`.SumaDeEAP1_3_A, `cuadro 45`.SumaDeEAP1_4_A, `cuadro 45`.SumaDeEAP1_5_A, `cuadro 45`.SumaDeEAP1_6_A, `cuadro 45`.SumaDeEAP1_7_A, `cuadro 45`.SumaDeEAP1_8_A, `cuadro 45`.SumaDeEAP1_9_A, `cuadro 45`.SumaDeEAP1_10_A, `cuadro 45`.SumaDeEAP1_11_A, `cuadro 45`.SumaDeEAP1_12_A, `cuadro 45`.SumaDeEAP1_13_A, `cuadro 45`.SumaDeEAP1_14_A, `cuadro 45`.SumaDeEAP1_15_A, `cuadro 45`.SumaDeEAP1_16_A, `cuadro 45`.SumaDeEAP1_1_B, `cuadro 45`.SumaDeEAP1_2_B, `cuadro 45`.SumaDeEAP1_3_B, `cuadro 45`.SumaDeEAP1_4_B, `cuadro 45`.SumaDeEAP1_5_B, `cuadro 45`.SumaDeEAP1_6_B, `cuadro 45`.SumaDeEAP1_7_B, `cuadro 45`.SumaDeEAP1_8_B, `cuadro 45`.SumaDeEAP1_9_B, `cuadro 45`.SumaDeEAP1_10_B, `cuadro 45`.SumaDeEAP1_11_B, `cuadro 45`.SumaDeEAP1_12_B, `cuadro 45`.SumaDeEAP1_13_B, `cuadro 45`.SumaDeEAP1_14_B, `cuadro 45`.SumaDeEAP1_15_B, `cuadro 45`.SumaDeEAP1_16_B, `cuadro 45`.SumaDeEAP1_1_C, `cuadro 45`.SumaDeEAP1_2_C, `cuadro 45`.SumaDeEAP1_3_C, `cuadro 45`.SumaDeEAP1_4_C, `cuadro 45`.SumaDeEAP1_5_C, `cuadro 45`.SumaDeEAP1_6_C, `cuadro 45`.SumaDeEAP1_7_C, `cuadro 45`.SumaDeEAP1_8_C, `cuadro 45`.SumaDeEAP1_9_C, `cuadro 45`.SumaDeEAP1_10_C, `cuadro 45`.SumaDeEAP1_11_C, `cuadro 45`.SumaDeEAP1_12_C, `cuadro 45`.SumaDeEAP1_13_C, `cuadro 45`.SumaDeEAP1_14_C, `cuadro 45`.SumaDeEAP1_15_C, `cuadro 45`.SumaDeEAP1_16_C, `cuadro 45`.SumaDeEAP1_1_D, `cuadro 45`.SumaDeEAP1_2_D, `cuadro 45`.SumaDeEAP1_3_D, `cuadro 45`.SumaDeEAP1_4_D, `cuadro 45`.SumaDeEAP1_5_D, `cuadro 45`.SumaDeEAP1_6_D, `cuadro 45`.SumaDeEAP1_7_D, `cuadro 45`.SumaDeEAP1_8_D, `cuadro 45`.SumaDeEAP1_9_D, `cuadro 45`.SumaDeEAP1_10_D, `cuadro 45`.SumaDeEAP1_11_D, `cuadro 45`.SumaDeEAP1_12_D, `cuadro 45`.SumaDeEAP1_13_D, `cuadro 45`.SumaDeEAP1_14_D, `cuadro 45`.SumaDeEAP1_15_D, `cuadro 45`.SumaDeEAP1_16_D, `cuadro 45`.SumaDeEAP1_1_E, `cuadro 45`.SumaDeEAP1_2_E, `cuadro 45`.SumaDeEAP1_3_E, `cuadro 45`.SumaDeEAP1_4_E, `cuadro 45`.SumaDeEAP1_5_E, `cuadro 45`.SumaDeEAP1_6_E, `cuadro 45`.SumaDeEAP1_7_E, `cuadro 45`.SumaDeEAP1_8_E, `cuadro 45`.SumaDeEAP1_9_E, `cuadro 45`.SumaDeEAP1_10_E, `cuadro 45`.SumaDeEAP1_11_E, `cuadro 45`.SumaDeEAP1_12_E, `cuadro 45`.SumaDeEAP1_13_E, `cuadro 45`.SumaDeEAP1_14_E, `cuadro 45`.SumaDeEAP1_15_E, `cuadro 45`.SumaDeEAP1_16_E, `cuadro 45`.SumaDeEAP1_1_F, `cuadro 45`.SumaDeEAP1_2_F, `cuadro 45`.SumaDeEAP1_3_F, `cuadro 45`.SumaDeEAP1_4_F, `cuadro 45`.SumaDeEAP1_5_F, `cuadro 45`.SumaDeEAP1_6_F, `cuadro 45`.SumaDeEAP1_7_F, `cuadro 45`.SumaDeEAP1_8_F, `cuadro 45`.SumaDeEAP1_9_F, `cuadro 45`.SumaDeEAP1_10_F, `cuadro 45`.SumaDeEAP1_11_F, `cuadro 45`.SumaDeEAP1_12_F, `cuadro 45`.SumaDeEAP1_13_F, `cuadro 45`.SumaDeEAP1_14_F, `cuadro 45`.SumaDeEAP1_15_F, `cuadro 45`.SumaDeEAP1_16_F_x000d__x000a_FROM `C:\super\SUPER`.`cuadro 45` `cuadro 45`"/>
    <extLst>
      <ext xmlns:x15="http://schemas.microsoft.com/office/spreadsheetml/2010/11/main" uri="{DE250136-89BD-433C-8126-D09CA5730AF9}">
        <x15:connection id="" excludeFromRefreshAll="1"/>
      </ext>
    </extLst>
  </connection>
  <connection id="4" xr16:uid="{00000000-0015-0000-FFFF-FFFF03000000}" name="Conexión13" type="1" refreshedVersion="0" savePassword="1" saveData="1">
    <dbPr connection="DBQ=C:\super\super.mdb;DefaultDir=C:\super;Driver={Microsoft Access Driver (*.mdb)};DriverId=25;FIL=MS Access;ImplicitCommitSync=Yes;MaxBufferSize=512;MaxScanRows=8;PageTimeout=5;SafeTransactions=0;Threads=3;UserCommitSync=Yes;" command="SELECT `cuadro 45`.SumaDeEAP1_1_A, `cuadro 45`.SumaDeEAP1_2_A, `cuadro 45`.SumaDeEAP1_3_A, `cuadro 45`.SumaDeEAP1_4_A, `cuadro 45`.SumaDeEAP1_5_A, `cuadro 45`.SumaDeEAP1_6_A, `cuadro 45`.SumaDeEAP1_7_A, `cuadro 45`.SumaDeEAP1_8_A, `cuadro 45`.SumaDeEAP1_9_A, `cuadro 45`.SumaDeEAP1_10_A, `cuadro 45`.SumaDeEAP1_11_A, `cuadro 45`.SumaDeEAP1_12_A, `cuadro 45`.SumaDeEAP1_13_A, `cuadro 45`.SumaDeEAP1_14_A, `cuadro 45`.SumaDeEAP1_15_A, `cuadro 45`.SumaDeEAP1_16_A, `cuadro 45`.SumaDeEAP1_1_B, `cuadro 45`.SumaDeEAP1_2_B, `cuadro 45`.SumaDeEAP1_3_B, `cuadro 45`.SumaDeEAP1_4_B, `cuadro 45`.SumaDeEAP1_5_B, `cuadro 45`.SumaDeEAP1_6_B, `cuadro 45`.SumaDeEAP1_7_B, `cuadro 45`.SumaDeEAP1_8_B, `cuadro 45`.SumaDeEAP1_9_B, `cuadro 45`.SumaDeEAP1_10_B, `cuadro 45`.SumaDeEAP1_11_B, `cuadro 45`.SumaDeEAP1_12_B, `cuadro 45`.SumaDeEAP1_13_B, `cuadro 45`.SumaDeEAP1_14_B, `cuadro 45`.SumaDeEAP1_15_B, `cuadro 45`.SumaDeEAP1_16_B, `cuadro 45`.SumaDeEAP1_1_C, `cuadro 45`.SumaDeEAP1_2_C, `cuadro 45`.SumaDeEAP1_3_C, `cuadro 45`.SumaDeEAP1_4_C, `cuadro 45`.SumaDeEAP1_5_C, `cuadro 45`.SumaDeEAP1_6_C, `cuadro 45`.SumaDeEAP1_7_C, `cuadro 45`.SumaDeEAP1_8_C, `cuadro 45`.SumaDeEAP1_9_C, `cuadro 45`.SumaDeEAP1_10_C, `cuadro 45`.SumaDeEAP1_11_C, `cuadro 45`.SumaDeEAP1_12_C, `cuadro 45`.SumaDeEAP1_13_C, `cuadro 45`.SumaDeEAP1_14_C, `cuadro 45`.SumaDeEAP1_15_C, `cuadro 45`.SumaDeEAP1_16_C, `cuadro 45`.SumaDeEAP1_1_D, `cuadro 45`.SumaDeEAP1_2_D, `cuadro 45`.SumaDeEAP1_3_D, `cuadro 45`.SumaDeEAP1_4_D, `cuadro 45`.SumaDeEAP1_5_D, `cuadro 45`.SumaDeEAP1_6_D, `cuadro 45`.SumaDeEAP1_7_D, `cuadro 45`.SumaDeEAP1_8_D, `cuadro 45`.SumaDeEAP1_9_D, `cuadro 45`.SumaDeEAP1_10_D, `cuadro 45`.SumaDeEAP1_11_D, `cuadro 45`.SumaDeEAP1_12_D, `cuadro 45`.SumaDeEAP1_13_D, `cuadro 45`.SumaDeEAP1_14_D, `cuadro 45`.SumaDeEAP1_15_D, `cuadro 45`.SumaDeEAP1_16_D, `cuadro 45`.SumaDeEAP1_1_E, `cuadro 45`.SumaDeEAP1_2_E, `cuadro 45`.SumaDeEAP1_3_E, `cuadro 45`.SumaDeEAP1_4_E, `cuadro 45`.SumaDeEAP1_5_E, `cuadro 45`.SumaDeEAP1_6_E, `cuadro 45`.SumaDeEAP1_7_E, `cuadro 45`.SumaDeEAP1_8_E, `cuadro 45`.SumaDeEAP1_9_E, `cuadro 45`.SumaDeEAP1_10_E, `cuadro 45`.SumaDeEAP1_11_E, `cuadro 45`.SumaDeEAP1_12_E, `cuadro 45`.SumaDeEAP1_13_E, `cuadro 45`.SumaDeEAP1_14_E, `cuadro 45`.SumaDeEAP1_15_E, `cuadro 45`.SumaDeEAP1_16_E, `cuadro 45`.SumaDeEAP1_1_F, `cuadro 45`.SumaDeEAP1_2_F, `cuadro 45`.SumaDeEAP1_3_F, `cuadro 45`.SumaDeEAP1_4_F, `cuadro 45`.SumaDeEAP1_5_F, `cuadro 45`.SumaDeEAP1_6_F, `cuadro 45`.SumaDeEAP1_7_F, `cuadro 45`.SumaDeEAP1_8_F, `cuadro 45`.SumaDeEAP1_9_F, `cuadro 45`.SumaDeEAP1_10_F, `cuadro 45`.SumaDeEAP1_11_F, `cuadro 45`.SumaDeEAP1_12_F, `cuadro 45`.SumaDeEAP1_13_F, `cuadro 45`.SumaDeEAP1_14_F, `cuadro 45`.SumaDeEAP1_15_F, `cuadro 45`.SumaDeEAP1_16_F_x000d__x000a_FROM `C:\super\SUPER`.`cuadro 45` `cuadro 45`"/>
    <extLst>
      <ext xmlns:x15="http://schemas.microsoft.com/office/spreadsheetml/2010/11/main" uri="{DE250136-89BD-433C-8126-D09CA5730AF9}">
        <x15:connection id="" excludeFromRefreshAll="1"/>
      </ext>
    </extLst>
  </connection>
  <connection id="5" xr16:uid="{00000000-0015-0000-FFFF-FFFF04000000}" name="Conexión17" type="1" refreshedVersion="0" savePassword="1" saveData="1">
    <dbPr connection="DBQ=C:\super\super.mdb;DefaultDir=C:\super;Driver={Microsoft Access Driver (*.mdb)};DriverId=25;FIL=MS Access;ImplicitCommitSync=Yes;MaxBufferSize=512;MaxScanRows=8;PageTimeout=5;SafeTransactions=0;Threads=3;UserCommitSync=Yes;" command="SELECT `cuadro 45`.SumaDeEAP1_1_A, `cuadro 45`.SumaDeEAP1_2_A, `cuadro 45`.SumaDeEAP1_3_A, `cuadro 45`.SumaDeEAP1_4_A, `cuadro 45`.SumaDeEAP1_5_A, `cuadro 45`.SumaDeEAP1_6_A, `cuadro 45`.SumaDeEAP1_7_A, `cuadro 45`.SumaDeEAP1_8_A, `cuadro 45`.SumaDeEAP1_9_A, `cuadro 45`.SumaDeEAP1_10_A, `cuadro 45`.SumaDeEAP1_11_A, `cuadro 45`.SumaDeEAP1_12_A, `cuadro 45`.SumaDeEAP1_13_A, `cuadro 45`.SumaDeEAP1_14_A, `cuadro 45`.SumaDeEAP1_15_A, `cuadro 45`.SumaDeEAP1_16_A, `cuadro 45`.SumaDeEAP1_1_B, `cuadro 45`.SumaDeEAP1_2_B, `cuadro 45`.SumaDeEAP1_3_B, `cuadro 45`.SumaDeEAP1_4_B, `cuadro 45`.SumaDeEAP1_5_B, `cuadro 45`.SumaDeEAP1_6_B, `cuadro 45`.SumaDeEAP1_7_B, `cuadro 45`.SumaDeEAP1_8_B, `cuadro 45`.SumaDeEAP1_9_B, `cuadro 45`.SumaDeEAP1_10_B, `cuadro 45`.SumaDeEAP1_11_B, `cuadro 45`.SumaDeEAP1_12_B, `cuadro 45`.SumaDeEAP1_13_B, `cuadro 45`.SumaDeEAP1_14_B, `cuadro 45`.SumaDeEAP1_15_B, `cuadro 45`.SumaDeEAP1_16_B, `cuadro 45`.SumaDeEAP1_1_C, `cuadro 45`.SumaDeEAP1_2_C, `cuadro 45`.SumaDeEAP1_3_C, `cuadro 45`.SumaDeEAP1_4_C, `cuadro 45`.SumaDeEAP1_5_C, `cuadro 45`.SumaDeEAP1_6_C, `cuadro 45`.SumaDeEAP1_7_C, `cuadro 45`.SumaDeEAP1_8_C, `cuadro 45`.SumaDeEAP1_9_C, `cuadro 45`.SumaDeEAP1_10_C, `cuadro 45`.SumaDeEAP1_11_C, `cuadro 45`.SumaDeEAP1_12_C, `cuadro 45`.SumaDeEAP1_13_C, `cuadro 45`.SumaDeEAP1_14_C, `cuadro 45`.SumaDeEAP1_15_C, `cuadro 45`.SumaDeEAP1_16_C, `cuadro 45`.SumaDeEAP1_1_D, `cuadro 45`.SumaDeEAP1_2_D, `cuadro 45`.SumaDeEAP1_3_D, `cuadro 45`.SumaDeEAP1_4_D, `cuadro 45`.SumaDeEAP1_5_D, `cuadro 45`.SumaDeEAP1_6_D, `cuadro 45`.SumaDeEAP1_7_D, `cuadro 45`.SumaDeEAP1_8_D, `cuadro 45`.SumaDeEAP1_9_D, `cuadro 45`.SumaDeEAP1_10_D, `cuadro 45`.SumaDeEAP1_11_D, `cuadro 45`.SumaDeEAP1_12_D, `cuadro 45`.SumaDeEAP1_13_D, `cuadro 45`.SumaDeEAP1_14_D, `cuadro 45`.SumaDeEAP1_15_D, `cuadro 45`.SumaDeEAP1_16_D, `cuadro 45`.SumaDeEAP1_1_E, `cuadro 45`.SumaDeEAP1_2_E, `cuadro 45`.SumaDeEAP1_3_E, `cuadro 45`.SumaDeEAP1_4_E, `cuadro 45`.SumaDeEAP1_5_E, `cuadro 45`.SumaDeEAP1_6_E, `cuadro 45`.SumaDeEAP1_7_E, `cuadro 45`.SumaDeEAP1_8_E, `cuadro 45`.SumaDeEAP1_9_E, `cuadro 45`.SumaDeEAP1_10_E, `cuadro 45`.SumaDeEAP1_11_E, `cuadro 45`.SumaDeEAP1_12_E, `cuadro 45`.SumaDeEAP1_13_E, `cuadro 45`.SumaDeEAP1_14_E, `cuadro 45`.SumaDeEAP1_15_E, `cuadro 45`.SumaDeEAP1_16_E, `cuadro 45`.SumaDeEAP1_1_F, `cuadro 45`.SumaDeEAP1_2_F, `cuadro 45`.SumaDeEAP1_3_F, `cuadro 45`.SumaDeEAP1_4_F, `cuadro 45`.SumaDeEAP1_5_F, `cuadro 45`.SumaDeEAP1_6_F, `cuadro 45`.SumaDeEAP1_7_F, `cuadro 45`.SumaDeEAP1_8_F, `cuadro 45`.SumaDeEAP1_9_F, `cuadro 45`.SumaDeEAP1_10_F, `cuadro 45`.SumaDeEAP1_11_F, `cuadro 45`.SumaDeEAP1_12_F, `cuadro 45`.SumaDeEAP1_13_F, `cuadro 45`.SumaDeEAP1_14_F, `cuadro 45`.SumaDeEAP1_15_F, `cuadro 45`.SumaDeEAP1_16_F_x000d__x000a_FROM `C:\super\SUPER`.`cuadro 45` `cuadro 45`"/>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<sst xmlns="http://schemas.openxmlformats.org/spreadsheetml/2006/main" count="1701" uniqueCount="398">
  <si>
    <t>CUADRO Nº 44</t>
  </si>
  <si>
    <t>ACCIDENTES Y ENFERMEDADES</t>
  </si>
  <si>
    <t>MOVIMIENTO DE POLIZAS Y SUMAS ASEGURADAS</t>
  </si>
  <si>
    <t>SOCIEDADES NACIONALES Y EXTRANJERAS</t>
  </si>
  <si>
    <t>( CIFRAS EN DOLARES )</t>
  </si>
  <si>
    <t>CONCEPTO</t>
  </si>
  <si>
    <t>ACCIDENTES PERSONALES  1/</t>
  </si>
  <si>
    <t>MEDICO HOSPITALARIO 2/</t>
  </si>
  <si>
    <t>Nº de</t>
  </si>
  <si>
    <t>Pólizas</t>
  </si>
  <si>
    <t>Certificados</t>
  </si>
  <si>
    <t>MONTO</t>
  </si>
  <si>
    <t xml:space="preserve">EN VIGOR AL INICIO DEL EJERCICIO   4_/ </t>
  </si>
  <si>
    <t>AUMENTO</t>
  </si>
  <si>
    <t xml:space="preserve">     Emitido</t>
  </si>
  <si>
    <t xml:space="preserve">     Inscripciones Nuevas</t>
  </si>
  <si>
    <t xml:space="preserve">     Aumento a la suma asegurada</t>
  </si>
  <si>
    <t xml:space="preserve">     Por otros conceptos</t>
  </si>
  <si>
    <t>DEDUCCIONES</t>
  </si>
  <si>
    <t xml:space="preserve">     Siniestros  3/</t>
  </si>
  <si>
    <t xml:space="preserve">     Reducción de la suma asegurada</t>
  </si>
  <si>
    <t xml:space="preserve">     Cancelaciones</t>
  </si>
  <si>
    <t xml:space="preserve">     Inscripciones retiradas</t>
  </si>
  <si>
    <t xml:space="preserve">     Vencimiento</t>
  </si>
  <si>
    <t xml:space="preserve">     Caducidad</t>
  </si>
  <si>
    <t xml:space="preserve">     Expiración</t>
  </si>
  <si>
    <t>EN VIGOR AL FINAL DEL EJERCICIO</t>
  </si>
  <si>
    <t>1/  Incluye el seguro de viajes</t>
  </si>
  <si>
    <t>2/  Seguro de salud, intervenciones quirúrgicas, hospitalización, gastos médicos y otros</t>
  </si>
  <si>
    <t>3/  Unicamente los que disminuyen la cartera.</t>
  </si>
  <si>
    <t>FUENTE: Cifras remitidas por las Sociedades de Seguros.</t>
  </si>
  <si>
    <t>AÑO 2013</t>
  </si>
  <si>
    <t>4/ Cifras ajustadas al inicio de 2013.</t>
  </si>
  <si>
    <t>CUADRO Nº 3</t>
  </si>
  <si>
    <t xml:space="preserve">PRIMAS, SINIESTROS Y RESCATES Y DOLATES PAGADOS </t>
  </si>
  <si>
    <t>DE ENERO A DICIEMBRE 2013</t>
  </si>
  <si>
    <t>( CIFRAS EN DÓLARES )</t>
  </si>
  <si>
    <t>SOCIEDADES NACIONALES</t>
  </si>
  <si>
    <t>SOCIEDADES EXTRANJERAS</t>
  </si>
  <si>
    <t>TOTAL</t>
  </si>
  <si>
    <t>RAMOS</t>
  </si>
  <si>
    <t>PRIMAS 1_/</t>
  </si>
  <si>
    <t>SINIESTROS</t>
  </si>
  <si>
    <t>DOTALES</t>
  </si>
  <si>
    <t>RESCATES</t>
  </si>
  <si>
    <t>Nº</t>
  </si>
  <si>
    <t>PAGADOS EN EFECTIVO</t>
  </si>
  <si>
    <t>PARA LIQUIDAR PRESTAMOS</t>
  </si>
  <si>
    <t>VIDA</t>
  </si>
  <si>
    <t xml:space="preserve">     Individual</t>
  </si>
  <si>
    <t xml:space="preserve">     Otros Planes</t>
  </si>
  <si>
    <t xml:space="preserve">     Colectivo</t>
  </si>
  <si>
    <t>PREVISIONAL</t>
  </si>
  <si>
    <t xml:space="preserve">      Accidentes Personales</t>
  </si>
  <si>
    <t xml:space="preserve">      Salud y Hospitalización</t>
  </si>
  <si>
    <t>DAÑOS</t>
  </si>
  <si>
    <t xml:space="preserve">      Responsabilidad por  Riesgos Profesionales</t>
  </si>
  <si>
    <t xml:space="preserve">      Incendio y Riesgos Anexos</t>
  </si>
  <si>
    <t xml:space="preserve">      Vehículos Automotores</t>
  </si>
  <si>
    <t xml:space="preserve">       Marítimo y Transporte   2_/</t>
  </si>
  <si>
    <t xml:space="preserve">      Otros</t>
  </si>
  <si>
    <t>FIANZAS</t>
  </si>
  <si>
    <t>1_/Primas pagadas netas de devoluciones y cancelaciones</t>
  </si>
  <si>
    <t>2_/ Incluye Transporte Marítimo, Transporte Aéreo, Transporte Terrestre, Marítimos Cascos y Aviación.</t>
  </si>
  <si>
    <t>AÑO 2014</t>
  </si>
  <si>
    <t xml:space="preserve"> </t>
  </si>
  <si>
    <t>CUADRO No. 3</t>
  </si>
  <si>
    <t xml:space="preserve">PRIMAS, SINIESTROS, RESCATES Y DOTALES PAGADOS </t>
  </si>
  <si>
    <t>DE ENERO A DICIEMBRE 2014</t>
  </si>
  <si>
    <t>PAGOS EN EFECTIVO</t>
  </si>
  <si>
    <t xml:space="preserve">      Médicos Hospitalario</t>
  </si>
  <si>
    <t>1/  Incluye el seguro de vida</t>
  </si>
  <si>
    <t>4/ Cifras ajustadas al inicio de 2014</t>
  </si>
  <si>
    <t>DE ENERO A DICIEMBRE 2015</t>
  </si>
  <si>
    <t>AÑO 2015</t>
  </si>
  <si>
    <t>4/ Cifras ajustadas al inicio de 2015</t>
  </si>
  <si>
    <t>SALUD Y HOSPITALIZACIÓN</t>
  </si>
  <si>
    <t>PROMEDIOS</t>
  </si>
  <si>
    <t>PRIMAS</t>
  </si>
  <si>
    <t>AÑO</t>
  </si>
  <si>
    <t>SUMA ASEGURADA</t>
  </si>
  <si>
    <t>SINIESTRALIDAD</t>
  </si>
  <si>
    <t>TASA DE RIESGO</t>
  </si>
  <si>
    <t>TASA COMERCIAL</t>
  </si>
  <si>
    <t>SUPERINTENDENCIA DEL SISTEMA FINANCIERO</t>
  </si>
  <si>
    <t>RESUMEN ESTADíSTICO PREVISIONAL DICIEMBRE 2014</t>
  </si>
  <si>
    <t>}</t>
  </si>
  <si>
    <t>Variación</t>
  </si>
  <si>
    <t>Absoluta</t>
  </si>
  <si>
    <t>Relativa</t>
  </si>
  <si>
    <t>I</t>
  </si>
  <si>
    <t>CIFRAS PREVISIONALES</t>
  </si>
  <si>
    <t>Población afiliada (desde abril-98 hasta fin de período)</t>
  </si>
  <si>
    <t xml:space="preserve">            Sistema de Pensiones Público (SPP) 1/</t>
  </si>
  <si>
    <t xml:space="preserve">INPEP (afiliados con Número Único Previsional asignado) </t>
  </si>
  <si>
    <t xml:space="preserve">UPISSS (afiliados con Número Único Previsional asignado) </t>
  </si>
  <si>
    <r>
      <t xml:space="preserve">           Sistema de Ahorro para Pensiones (SAP) </t>
    </r>
    <r>
      <rPr>
        <sz val="12"/>
        <color indexed="8"/>
        <rFont val="Calibri"/>
        <family val="2"/>
      </rPr>
      <t>(afiliados con Número Único Previsional asignado)</t>
    </r>
  </si>
  <si>
    <t>AFP Confía, S.A.</t>
  </si>
  <si>
    <t>AFP Crecer, S.A.</t>
  </si>
  <si>
    <t>Población cotizante del SPP 2/</t>
  </si>
  <si>
    <t>INPEP (cotizantes en el mes de recaudación)</t>
  </si>
  <si>
    <t>UPISSS (cotizantes en el mes de recaudación)</t>
  </si>
  <si>
    <t>Población cotizante del SAP (en el mes de recaudación) 2/</t>
  </si>
  <si>
    <t>Relación de población afiliada respecto a población total del país (En % a fin de período)</t>
  </si>
  <si>
    <t>SPP</t>
  </si>
  <si>
    <t>INPEP</t>
  </si>
  <si>
    <t>ISSS</t>
  </si>
  <si>
    <t xml:space="preserve"> SAP</t>
  </si>
  <si>
    <t>Relación de población afiliada respecto a la PEA   (En % a fin de período)</t>
  </si>
  <si>
    <t>SAP</t>
  </si>
  <si>
    <t>Estructura de edades de la población afiliada al SAP (a fin de período)</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</si>
  <si>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</si>
  <si>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</si>
  <si>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</si>
  <si>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</si>
  <si>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</si>
  <si>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</si>
  <si>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</si>
  <si>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</si>
  <si>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</si>
  <si>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</si>
  <si>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</si>
  <si>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</si>
  <si>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</si>
  <si>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</si>
  <si>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</si>
  <si>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ó más</t>
  </si>
  <si>
    <t>Distribución geográfica de la población afiliada al SAP (a fin de período de cada año )</t>
  </si>
  <si>
    <t>Ahuachapán</t>
  </si>
  <si>
    <t>Santa Ana</t>
  </si>
  <si>
    <t>Sonsonate</t>
  </si>
  <si>
    <t>Chalatenango</t>
  </si>
  <si>
    <t>La Libertad</t>
  </si>
  <si>
    <t>San Salvador</t>
  </si>
  <si>
    <t>Cuscatlán</t>
  </si>
  <si>
    <t>La Paz</t>
  </si>
  <si>
    <t>Cabañas</t>
  </si>
  <si>
    <t>San Vicente</t>
  </si>
  <si>
    <t>Usulután</t>
  </si>
  <si>
    <t xml:space="preserve">San Miguel </t>
  </si>
  <si>
    <t>Morazán</t>
  </si>
  <si>
    <t>La Unión</t>
  </si>
  <si>
    <t>Traspasos aprobados entre AFP (desde mayo-1999 hasta fin de período) 3/</t>
  </si>
  <si>
    <t>Traspasos aprobados entre AFP en los últimos 12 meses</t>
  </si>
  <si>
    <t>Relación de traspasos respecto a la población afiliada (En % a fin de período)</t>
  </si>
  <si>
    <t>Proporción de afiliados que efectivamente cotizan ( en %, respecto al mes de recaudación)</t>
  </si>
  <si>
    <t>Relación de cotizantes totales respecto a la población afiliada (En % en ese mes) 4/</t>
  </si>
  <si>
    <r>
      <t>Relación de cotizantes totales respecto a la PEA</t>
    </r>
    <r>
      <rPr>
        <b/>
        <sz val="12"/>
        <color indexed="8"/>
        <rFont val="Calibri"/>
        <family val="2"/>
      </rPr>
      <t xml:space="preserve"> </t>
    </r>
    <r>
      <rPr>
        <sz val="12"/>
        <color indexed="8"/>
        <rFont val="Calibri"/>
        <family val="2"/>
      </rPr>
      <t>(En % en ese mes) 4/</t>
    </r>
  </si>
  <si>
    <t>Recaudación acumulada de cotizaciones del SAP (desde junio-1998 hasta fin de período, en millones de US$)</t>
  </si>
  <si>
    <t>Recaudación de cotizaciones del SAP (en los últimos 12 meses, en millones de US$)</t>
  </si>
  <si>
    <t>Patrimonio acumulado del fondo de pensiones SAP (desde abril-1998 hasta  fin de período, en millones de US$)</t>
  </si>
  <si>
    <t>Patrimonio del fondo de pensiones por afiliado al SAP en US$</t>
  </si>
  <si>
    <t>Patrimonio del fondo de pensiones por habitante en US$</t>
  </si>
  <si>
    <t>Relación del patrimonio del fondo de pensiones respecto al Producto Interno Bruto   (%)</t>
  </si>
  <si>
    <t>Total Cartera valorizada del fondo de pensiones invertido (SAP, en millones de US$)</t>
  </si>
  <si>
    <t>Según tipo de institución emisora</t>
  </si>
  <si>
    <t>En instrumentos de instituciones públicas en millones de US$</t>
  </si>
  <si>
    <t>(%)</t>
  </si>
  <si>
    <t>En instrumentos de bancos en millones de US$</t>
  </si>
  <si>
    <t>En instrumentos de sociedades nacionales  en millones de US$</t>
  </si>
  <si>
    <t>En instrumentos de organismos financieros de desarrollo  en millones de US$</t>
  </si>
  <si>
    <t>En valores extranjeros en millones de US$</t>
  </si>
  <si>
    <t>En fondos de titularización en millones de US$</t>
  </si>
  <si>
    <t>Según tipo de instrumento</t>
  </si>
  <si>
    <t>En instrumentos de renta fija en millones de US$</t>
  </si>
  <si>
    <t>En instrumentos de renta variable en millones de US$</t>
  </si>
  <si>
    <t>Comisión neta promedio cobrada por las AFP   (%)</t>
  </si>
  <si>
    <t>Valor cuota promedio del SAP (desde junio-1998 hasta fin de período de cada año, en US$)</t>
  </si>
  <si>
    <t>Rentabilidad (%)</t>
  </si>
  <si>
    <t>Rentabilidad nominal de los últimos 12 meses promedio de todos los fondos (SAP)</t>
  </si>
  <si>
    <t xml:space="preserve">Rentabilidad real de los últimos 12 meses promedio de todos los fondos (SAP) </t>
  </si>
  <si>
    <t>Monto de la cartera de inversión del  SPP (a fin de período, en millones de US$)</t>
  </si>
  <si>
    <t>Cartera de inversión del INPEP, en millones US$</t>
  </si>
  <si>
    <t xml:space="preserve">Cartera de inversión UPISSS, en millones de US$ 5/ </t>
  </si>
  <si>
    <t>Pensionados (a fin de cada período) 6/</t>
  </si>
  <si>
    <t>Vejez</t>
  </si>
  <si>
    <t xml:space="preserve">               SPP</t>
  </si>
  <si>
    <t>UPISSS</t>
  </si>
  <si>
    <t xml:space="preserve">               SAP </t>
  </si>
  <si>
    <t>Invalidez</t>
  </si>
  <si>
    <t xml:space="preserve">               SAP</t>
  </si>
  <si>
    <t>Beneficiarios por Sobrevivencia</t>
  </si>
  <si>
    <t>Dictámenes emitidos por la Comisión Calificadora de Invalidez (CCI) (acumulados al final de cada período)</t>
  </si>
  <si>
    <t>Aprobados</t>
  </si>
  <si>
    <t>No aprobados</t>
  </si>
  <si>
    <t xml:space="preserve">Dictámenes aprobados por la CCI según impedimento o sistema orgánico afectado (SAP y SPP a fin de período) </t>
  </si>
  <si>
    <t>Impedimento mental</t>
  </si>
  <si>
    <t>Impedimento neoplásico maligno</t>
  </si>
  <si>
    <t>Organos de los sentidos</t>
  </si>
  <si>
    <t>Sindrome doloroso crónico</t>
  </si>
  <si>
    <t>Sistema cardiovascular</t>
  </si>
  <si>
    <t>Sistema digestivo</t>
  </si>
  <si>
    <t>Sistema endocrino</t>
  </si>
  <si>
    <t>Sistema hematopoyético</t>
  </si>
  <si>
    <t>Sistema Músculo esquelético/ortopédico/traumático</t>
  </si>
  <si>
    <t>Sistema Músculo esquelético/reumático/inflamatorio</t>
  </si>
  <si>
    <t>Sistema nervioso central</t>
  </si>
  <si>
    <t>Sistema nervioso periférico</t>
  </si>
  <si>
    <t>Sistema respiratorio</t>
  </si>
  <si>
    <t>Sistema tegumentario piel y faneras</t>
  </si>
  <si>
    <t>Sistema urinario genital</t>
  </si>
  <si>
    <t>VIH-SIDA</t>
  </si>
  <si>
    <t>II</t>
  </si>
  <si>
    <t>CIFRAS ECONOMICAS 7/</t>
  </si>
  <si>
    <t>Producto Interno Bruto nominal en millones de US$ (a precios corrientes)</t>
  </si>
  <si>
    <t xml:space="preserve">Inversión Interna Bruta a precios corrientes en millones de US$ </t>
  </si>
  <si>
    <t>n.d.</t>
  </si>
  <si>
    <t xml:space="preserve">Ahorro Nacional Bruto a precios corrientes en millones de US$ </t>
  </si>
  <si>
    <t>Indice de Precios al Consumidor 8/</t>
  </si>
  <si>
    <t>Tasa de inflación mensual</t>
  </si>
  <si>
    <t>Tasa de inflación (punto a punto)</t>
  </si>
  <si>
    <t>Tasas de interés mensuales pagadas por bancos del sistema financiero en cada período</t>
  </si>
  <si>
    <t>Depósitos a 30 días</t>
  </si>
  <si>
    <t>Depósitos a 90 días</t>
  </si>
  <si>
    <t>Depósitos a 180 días</t>
  </si>
  <si>
    <t>Depósitos a 360 días</t>
  </si>
  <si>
    <t>III</t>
  </si>
  <si>
    <t>CIFRAS DEMOGRAFICAS</t>
  </si>
  <si>
    <t>Población total del país 9/</t>
  </si>
  <si>
    <t>Población Económicamente Activa (PEA) 9/</t>
  </si>
  <si>
    <t>1/ Población afiliada al SPP con Número Unico Previsional asignado por la Superintendencia de Pensiones.</t>
  </si>
  <si>
    <t>2/ Se considera cotizante al trabajador que efectivamente efectúa sus aportes en un mes de devengue determinado. En el presente informe se presenta como dato más reciente el correspondiente a la recaudación de diciembre 2014</t>
  </si>
  <si>
    <t>3/ Datos ajustados, teniendo en cuenta reforma al Reglamento de Traspasos entre AFP de septiembre de 2006. Los datos actuales reflejan los traspasos que la Superintendencia registra con entrada en vigencia con otra AFP, acumulados hasta el mes de referencia informado.</t>
  </si>
  <si>
    <t>4/ Cálculos efectuados sobre la base del total de afiliados en el mes de recaudación.</t>
  </si>
  <si>
    <t>5/ Dato no incluye saldo en cuentas de ahorro, debido a que la UPISSS ya no informa las cuentas de ahorro desde junio de 2005.</t>
  </si>
  <si>
    <t xml:space="preserve">6/ Información de pensionados por el SPP suministrada por Pagaduría de Pensiones del INPEP sobre la base de la planilla de pago de pensiones, y Sección de Control de Pensiones de la Unidad de Pensiones del ISSS. </t>
  </si>
  <si>
    <t>7/ Banco Central de Reserva de El Salvador (Cifras más recientes publicadas en sitio web).</t>
  </si>
  <si>
    <t xml:space="preserve">8/ Indice Diciembre 2009=100, Boletín Ejecutivo IPC diciembre 2014  de la DIGESTYC, Ministerio de Economía.
</t>
  </si>
  <si>
    <t>9/ Encuesta de Hogares de Propósitos Múltiples 2013, Dirección General de Estadísticas y Censos, Ministerio de Economía.</t>
  </si>
  <si>
    <t>Fuente: Superintendencia del Sistema Financiero.</t>
  </si>
  <si>
    <t>RESUMEN ESTADíSTICO PREVISIONAL DICIEMBRE 2015</t>
  </si>
  <si>
    <t>1/ Población afiliada al SPP con Número Único Previsional asignado por la Superintendencia de Pensiones.</t>
  </si>
  <si>
    <t>2/ Se considera cotizante al trabajador que efectivamente efectúa sus aportes en un mes de devengue determinado. En el presente informe se presenta como dato más reciente el correspondiente a la recaudación de diciembre 2015.</t>
  </si>
  <si>
    <t>3/ Datos ajustados, teniendo en cuenta reforma al Reglamento de Traspasos entre AFP de septiembre de 2006. A partir de enero de 2015, se ha revisado el criterio para el registro estadístico de los traspasos, siendo éste que los traspasos se reportan en el mes en que efectivamente entraron en vigencia y a partir del cual se da la recepción de las cotizaciones en la AFP.</t>
  </si>
  <si>
    <t>6/ Información de pensionados por el SPP suministrada por Pagaduría de Pensiones del INPEP sobre la base de la planilla de pago de pensiones, y Sección de Control de Pensiones de la Unidad de Pensiones del ISSS.</t>
  </si>
  <si>
    <t xml:space="preserve">8/ Indice Diciembre 2009=100, Boletín Ejecutivo IPC diciembre 2015 de la DIGESTYC, Ministerio de Economía.
</t>
  </si>
  <si>
    <t>9/ Encuesta de Hogares de Propósitos Múltiples 2014, Dirección General de Estadísticas y Censos, Ministerio de Economía.</t>
  </si>
  <si>
    <t>RESUMEN ESTADISTICO PREVISIONAL DICIEMBRE 2013</t>
  </si>
  <si>
    <t xml:space="preserve">           Sistema de Ahorro para Pensiones (SAP) (afiliados con Número Único Previsional asignado)</t>
  </si>
  <si>
    <t>Relación del patrimonio del fondo de pensiones respecto al Ahorro Nacional Bruto       (%)</t>
  </si>
  <si>
    <t>Relación del patrimonio del fondo de pensiones respecto a la Inversión Interna Bruta   (%)</t>
  </si>
  <si>
    <t>-.-</t>
  </si>
  <si>
    <t>2/ Se considera cotizante al trabajador que efectivamente efectúa sus aportes en un mes de devengue determinado. En el presente informe se presenta como dato más reciente el correspondiente a la recaudación de  diciembre de 2013.</t>
  </si>
  <si>
    <t xml:space="preserve">8/ Indice Diciembre 2009=100, Boletín Ejecutivo IPC mayo 2013  de la DIGESTYC, Ministerio de Economía.
</t>
  </si>
  <si>
    <t>9/ Encuesta de Hogares de Propósitos Múltiples 2012, Dirección General de Estadísticas y Censos, Ministerio de Economía.</t>
  </si>
  <si>
    <t>SUMAS ASEGURADAS</t>
  </si>
  <si>
    <t>RANGO DE EDADES DEL  ASEGURADO</t>
  </si>
  <si>
    <t>PROMEDIO</t>
  </si>
  <si>
    <t>18 - 30</t>
  </si>
  <si>
    <t>31 - 40</t>
  </si>
  <si>
    <t>41- 50</t>
  </si>
  <si>
    <t>51 - 60</t>
  </si>
  <si>
    <t>61 – 65</t>
  </si>
  <si>
    <t>TASAS DE RIESGO POR MILLAR DE SUMA ASEGURADA</t>
  </si>
  <si>
    <t>HASTA $50,000.00</t>
  </si>
  <si>
    <t>HASTA $100,000.00</t>
  </si>
  <si>
    <t>ASEGURADO    :</t>
  </si>
  <si>
    <t>EDAD      :</t>
  </si>
  <si>
    <t>SUMA ASEGURADA   :</t>
  </si>
  <si>
    <t>ALCANCE TERRITORIAL :</t>
  </si>
  <si>
    <t>TOTAL PRIMAS  :</t>
  </si>
  <si>
    <t>PRIMA DE RIESGO  :</t>
  </si>
  <si>
    <t>PRIMA DE RIESGO</t>
  </si>
  <si>
    <t>PRIMA COMERCIAL</t>
  </si>
  <si>
    <t>TOTAL PRIMAS A PAGAR</t>
  </si>
  <si>
    <t>EJEMPLO DE TARIFICACIÓN DE UN SEGURO INDIVIDUAL DE GASTOS MÉDICOS</t>
  </si>
  <si>
    <t>HASTA  $250,000.00</t>
  </si>
  <si>
    <t>HASTA  $500,000.00</t>
  </si>
  <si>
    <t>MAS DE $700,000.00</t>
  </si>
  <si>
    <t>PRIMAS DE RIESGO POR EDAD Y SUMA ASEGURADA</t>
  </si>
  <si>
    <t>EDAD</t>
  </si>
  <si>
    <t>Hasta 50,000</t>
  </si>
  <si>
    <t>Hasta 100,000</t>
  </si>
  <si>
    <t>Hasta 250,000</t>
  </si>
  <si>
    <t>Hasta 500,000</t>
  </si>
  <si>
    <t>Hasta  1,000,00</t>
  </si>
  <si>
    <t>ATLANTIDA VIDA, S.A. SEGUROS DE PERSONAS</t>
  </si>
  <si>
    <t>DE ENERO A DICIEMBRE 2016</t>
  </si>
  <si>
    <t>DE ENERO A DICIEMBRE 2017</t>
  </si>
  <si>
    <t>AÑO 2016</t>
  </si>
  <si>
    <t>AÑO 2017</t>
  </si>
  <si>
    <t>4/ Cifras ajustadas al inicio de 2017</t>
  </si>
  <si>
    <t>ANEXO No.1</t>
  </si>
  <si>
    <t>ATLANTIDA VIDA, SEGUROS DE PERSONAS</t>
  </si>
  <si>
    <t>FACTORES DE PRIMAS DE RIESGO POR EDAD PARA MUJERES</t>
  </si>
  <si>
    <t>FACTORES DE PRIMAS DE RIESGO POR EDAD PARA HOMBRES</t>
  </si>
  <si>
    <t>ANEXO No.2</t>
  </si>
  <si>
    <t>ANEXO No.3</t>
  </si>
  <si>
    <t>SEXO       :</t>
  </si>
  <si>
    <t>GENERO</t>
  </si>
  <si>
    <t>HOMBRE</t>
  </si>
  <si>
    <t>MUJER</t>
  </si>
  <si>
    <t>MUNDIAL</t>
  </si>
  <si>
    <t>RESULTADOS EN CÁLCULO DE PRIMAS:</t>
  </si>
  <si>
    <t>Nombre de empresa:</t>
  </si>
  <si>
    <t>Intermediario:</t>
  </si>
  <si>
    <t>Teléfono:</t>
  </si>
  <si>
    <t>Correo Electrónico:</t>
  </si>
  <si>
    <t>IVD:</t>
  </si>
  <si>
    <t>Muerte accidental</t>
  </si>
  <si>
    <t>Edad emisión</t>
  </si>
  <si>
    <t>Forma de pago</t>
  </si>
  <si>
    <t>Fecha mínima y máxima</t>
  </si>
  <si>
    <t>Suma asegurada</t>
  </si>
  <si>
    <t>SI</t>
  </si>
  <si>
    <t>ANUAL</t>
  </si>
  <si>
    <t>NO</t>
  </si>
  <si>
    <t>SEMESTRAL</t>
  </si>
  <si>
    <t>TRIMESTRAL</t>
  </si>
  <si>
    <t>Sexo</t>
  </si>
  <si>
    <t>MENSUAL</t>
  </si>
  <si>
    <t>SOLICITANTE  :</t>
  </si>
  <si>
    <t>SUMA ASEGURADA :</t>
  </si>
  <si>
    <t>FECHA DE NACIMIENTO (DD/MM/AA)  :</t>
  </si>
  <si>
    <t>RECARGOS :</t>
  </si>
  <si>
    <t>FORMA DE PAGO  :</t>
  </si>
  <si>
    <t>Si usted acepta la presente cotización, favor devolver los siguientes documentos completos y firmados:</t>
  </si>
  <si>
    <t>1. Solicitud de seguro</t>
  </si>
  <si>
    <t>2. Ficha Integral</t>
  </si>
  <si>
    <t>3. Declaración Jurada</t>
  </si>
  <si>
    <t>EDAD DEL ASEGURADO TITULAR   :</t>
  </si>
  <si>
    <t>CA</t>
  </si>
  <si>
    <t>OFERTA DE SEGURO INDIVIDUAL DE GASTOS MÉDICOS</t>
  </si>
  <si>
    <t>NOMBRE  :</t>
  </si>
  <si>
    <t>Conyuge</t>
  </si>
  <si>
    <t>HIJOS DEPENDIENTES :</t>
  </si>
  <si>
    <t>Hijos dependientes</t>
  </si>
  <si>
    <t>NINGUNO</t>
  </si>
  <si>
    <t>3 O MÁS</t>
  </si>
  <si>
    <t>Sometemos a su consideración cotización de Seguro de Gastos Médicos, de conformidad con el siguiente detalle:</t>
  </si>
  <si>
    <t>TITULAR:</t>
  </si>
  <si>
    <t>CÓNYUGE</t>
  </si>
  <si>
    <t>CÓNYUGE  :</t>
  </si>
  <si>
    <t>EDAD DEL CÓNYUGE  :</t>
  </si>
  <si>
    <t>GÉNERO    :</t>
  </si>
  <si>
    <t>NOMBRE COMPLETO</t>
  </si>
  <si>
    <t>FECHA NACIMIENTO</t>
  </si>
  <si>
    <t>SEXO</t>
  </si>
  <si>
    <t>N° HIJOS</t>
  </si>
  <si>
    <t>CUADRO DE BENEFICIOS</t>
  </si>
  <si>
    <t>BENEFICIOS</t>
  </si>
  <si>
    <t>PLAN C</t>
  </si>
  <si>
    <t>PLAN B</t>
  </si>
  <si>
    <t>PLAN A</t>
  </si>
  <si>
    <t>Máximo Vitalicio</t>
  </si>
  <si>
    <t>Deducible Familiar</t>
  </si>
  <si>
    <t>Ámbito de la cobertura</t>
  </si>
  <si>
    <t>Deducible en C.A. (Año póliza)</t>
  </si>
  <si>
    <t>Reembolso en C.A.</t>
  </si>
  <si>
    <t>Límite de coaseguro en C.A. (Año póliza)</t>
  </si>
  <si>
    <t>Deducible fuera de C.A. (Año póliza)</t>
  </si>
  <si>
    <t>Deducible familiar</t>
  </si>
  <si>
    <t>Límite de Coaseguro fuera de C.A. (Año póliza)</t>
  </si>
  <si>
    <t>Reembolso fuera de C.A. (Dentro de red)</t>
  </si>
  <si>
    <t>Reembolso fuera de C.A. (Fuera de red)</t>
  </si>
  <si>
    <t>Cuarto y alimento diario fuera de C.A.</t>
  </si>
  <si>
    <t>Cuarto y alimento diario en C.A.</t>
  </si>
  <si>
    <t>OTRAS COBERTURAS</t>
  </si>
  <si>
    <t>Trasplante de órganos (máximo vitalicio)</t>
  </si>
  <si>
    <t>SIDA (máximo vitalicio)</t>
  </si>
  <si>
    <t>Ambulancia aérea (año póliza)</t>
  </si>
  <si>
    <t>Atención al recién nacido (neonatologo, nurseria)</t>
  </si>
  <si>
    <t>Complicaciones del recién nacido</t>
  </si>
  <si>
    <t>Condiciones congénitas (máximo vitalicio)</t>
  </si>
  <si>
    <t>Psiquiatría ambulatoria</t>
  </si>
  <si>
    <t>Red Proveedores Médicos en El Salvador</t>
  </si>
  <si>
    <t>Red médica RPN</t>
  </si>
  <si>
    <t>Red Proveedores Médicos en EE.UU.</t>
  </si>
  <si>
    <t>Frecuencia de pago de prima</t>
  </si>
  <si>
    <t>Marque el Plan Elegido:</t>
  </si>
  <si>
    <t>N/A</t>
  </si>
  <si>
    <t>Maternidad en C.A. (Período de espera 10 meses)</t>
  </si>
  <si>
    <t>Maternidad fuera de C.A. (por evento) (Período de espera 10 meses)</t>
  </si>
  <si>
    <t>INFORMACIÓN DEL INTERMEDIARIO</t>
  </si>
  <si>
    <t>DATOS DEL PROPUESTO ASEGURADO</t>
  </si>
  <si>
    <t>COBERTURA :</t>
  </si>
  <si>
    <t>Atención al cliente Atlántida Vida:  (503) 2267-4570          Correo electrónico:  info@seatlan.sv</t>
  </si>
  <si>
    <t>La prima cotizada puede cambiar si en la fecha de emisión de la póliza la edad del titular o dependendiente(s) para el seguro fuere otra. Prima sujeta a verificación de exámen médico y análisis de suscripción</t>
  </si>
  <si>
    <t>Doble validador de sexo para maternidad</t>
  </si>
  <si>
    <t>Validador</t>
  </si>
  <si>
    <t>COTIZADOR GASTOS MÉDICOS INDIVIDUAL</t>
  </si>
  <si>
    <t>Atlántida Vida S.A. Seguros de Personas</t>
  </si>
  <si>
    <t>2267-4570</t>
  </si>
  <si>
    <t>aseguradoatlantida@seatlan.sv</t>
  </si>
  <si>
    <t>Maternidad en C.A. (Perído de espera 10 meses)</t>
  </si>
  <si>
    <t>Maternidad fuera de C.A. (por evento, p.e. 10 meses)</t>
  </si>
  <si>
    <t>Control niño sano y vacunación (Año póliza)</t>
  </si>
  <si>
    <t>Niño sano y vacunación hasta los 10 años (Año póliza)</t>
  </si>
  <si>
    <t>4. DUI y NIT de asegurado</t>
  </si>
  <si>
    <t>Exámenes médicos</t>
  </si>
  <si>
    <t xml:space="preserve">    Firma de aceptación cliente</t>
  </si>
  <si>
    <t xml:space="preserve"> ________________________</t>
  </si>
  <si>
    <t xml:space="preserve">        Firma de intermediario</t>
  </si>
  <si>
    <t xml:space="preserve">          Fecha de aceptación</t>
  </si>
  <si>
    <t>JUANA PÉREZ</t>
  </si>
  <si>
    <t>JUAN PEREZ</t>
  </si>
  <si>
    <t>Ajuste</t>
  </si>
  <si>
    <t>V.2023.001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</si>
</sst>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164" formatCode="&quot;$&quot;#,##0.00_);[Red]\(&quot;$&quot;#,##0.00\)"/>
    <numFmt numFmtId="165" formatCode="_(* #,##0_);_(* \(#,##0\);_(* &quot;-&quot;_);_(@_)"/>
    <numFmt numFmtId="166" formatCode="_(&quot;$&quot;* #,##0.00_);_(&quot;$&quot;* \(#,##0.00\);_(&quot;$&quot;* &quot;-&quot;??_);_(@_)"/>
    <numFmt numFmtId="167" formatCode="_(* #,##0.00_);_(* \(#,##0.00\);_(* &quot;-&quot;??_);_(@_)"/>
    <numFmt numFmtId="168" formatCode="_(* #,##0_);_(* \(#,##0\);_(* &quot;-&quot;??_);_(@_)"/>
    <numFmt numFmtId="169" formatCode="#,##0.0_);\(#,##0.0\)"/>
    <numFmt numFmtId="170" formatCode="0_);\(0\)"/>
    <numFmt numFmtId="171" formatCode="0.0_);\(0.0\)"/>
    <numFmt numFmtId="172" formatCode="0.0"/>
    <numFmt numFmtId="173" formatCode="0.000"/>
    <numFmt numFmtId="174" formatCode="_(* #,##0_);_(* \(#,##0\);_(* &quot;-&quot;?_);_(@_)"/>
    <numFmt numFmtId="175" formatCode="#,##0.0"/>
    <numFmt numFmtId="176" formatCode="_(* #,##0.0_);_(* \(#,##0.0\);_(* &quot;-&quot;??_);_(@_)"/>
    <numFmt numFmtId="177" formatCode="_(* #,##0.0_);_(* \(#,##0.0\);_(* &quot;-&quot;?_);_(@_)"/>
    <numFmt numFmtId="178" formatCode="_(* #,##0.00_);_(* \(#,##0.00\);_(* &quot;-&quot;?_);_(@_)"/>
    <numFmt numFmtId="179" formatCode="0.00_);\(0.00\)"/>
    <numFmt numFmtId="180" formatCode="#,##0.00000_);\(#,##0.00000\)"/>
    <numFmt numFmtId="181" formatCode="[$-F800]dddd\,\ mmmm\ dd\,\ yyyy"/>
    <numFmt numFmtId="182" formatCode="[$-F800]dddd\,\ mmmm\ dd\,\ yyyy\."/>
    <numFmt numFmtId="183" formatCode="&quot;$&quot;#,##0.00"/>
  </numFmts>
  <fonts count="57" x14ac:knownFonts="1">
    <font>
      <sz val="11"/>
      <color theme="1"/>
      <name val="Calibri"/>
      <family val="2"/>
      <scheme val="minor"/>
    </font>
    <font>
      <sz val="11"/>
      <color theme="1"/>
      <name val="Calibri"/>
      <family val="2"/>
      <scheme val="minor"/>
    </font>
    <font>
      <b/>
      <sz val="11"/>
      <color theme="0"/>
      <name val="Calibri"/>
      <family val="2"/>
      <scheme val="minor"/>
    </font>
    <font>
      <sz val="10"/>
      <name val="Calibri"/>
      <family val="2"/>
      <scheme val="minor"/>
    </font>
    <font>
      <b/>
      <u/>
      <sz val="10"/>
      <name val="Calibri"/>
      <family val="2"/>
      <scheme val="minor"/>
    </font>
    <font>
      <b/>
      <sz val="18"/>
      <name val="Calibri"/>
      <family val="2"/>
      <scheme val="minor"/>
    </font>
    <font>
      <b/>
      <sz val="14"/>
      <name val="Calibri"/>
      <family val="2"/>
      <scheme val="minor"/>
    </font>
    <font>
      <b/>
      <sz val="10"/>
      <color indexed="22"/>
      <name val="Calibri"/>
      <family val="2"/>
      <scheme val="minor"/>
    </font>
    <font>
      <sz val="10"/>
      <color indexed="22"/>
      <name val="Calibri"/>
      <family val="2"/>
      <scheme val="minor"/>
    </font>
    <font>
      <b/>
      <sz val="10"/>
      <name val="Calibri"/>
      <family val="2"/>
      <scheme val="minor"/>
    </font>
    <font>
      <b/>
      <sz val="10"/>
      <color indexed="23"/>
      <name val="Calibri"/>
      <family val="2"/>
      <scheme val="minor"/>
    </font>
    <font>
      <sz val="10"/>
      <color indexed="10"/>
      <name val="Calibri"/>
      <family val="2"/>
      <scheme val="minor"/>
    </font>
    <font>
      <sz val="10"/>
      <color theme="0"/>
      <name val="Calibri"/>
      <family val="2"/>
      <scheme val="minor"/>
    </font>
    <font>
      <b/>
      <sz val="12"/>
      <color theme="0"/>
      <name val="Calibri"/>
      <family val="2"/>
      <scheme val="minor"/>
    </font>
    <font>
      <b/>
      <sz val="10"/>
      <color theme="0"/>
      <name val="Calibri"/>
      <family val="2"/>
      <scheme val="minor"/>
    </font>
    <font>
      <sz val="11"/>
      <name val="Calibri"/>
      <family val="2"/>
      <scheme val="minor"/>
    </font>
    <font>
      <b/>
      <sz val="11"/>
      <name val="Calibri"/>
      <family val="2"/>
      <scheme val="minor"/>
    </font>
    <font>
      <sz val="11"/>
      <color theme="1"/>
      <name val="Calibri"/>
      <family val="2"/>
    </font>
    <font>
      <b/>
      <sz val="11"/>
      <color theme="1"/>
      <name val="Calibri"/>
      <family val="2"/>
    </font>
    <font>
      <sz val="10"/>
      <name val="Arial"/>
      <family val="2"/>
    </font>
    <font>
      <b/>
      <sz val="10"/>
      <color theme="1"/>
      <name val="Calibri"/>
      <family val="2"/>
      <scheme val="minor"/>
    </font>
    <font>
      <sz val="10"/>
      <color rgb="FF92D05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u/>
      <sz val="12"/>
      <name val="Calibri"/>
      <family val="2"/>
      <scheme val="minor"/>
    </font>
    <font>
      <sz val="12"/>
      <name val="Calibri"/>
      <family val="2"/>
      <scheme val="minor"/>
    </font>
    <font>
      <sz val="12"/>
      <color indexed="8"/>
      <name val="Calibri"/>
      <family val="2"/>
    </font>
    <font>
      <b/>
      <sz val="12"/>
      <name val="Calibri"/>
      <family val="2"/>
      <scheme val="minor"/>
    </font>
    <font>
      <b/>
      <sz val="12"/>
      <color indexed="8"/>
      <name val="Calibri"/>
      <family val="2"/>
    </font>
    <font>
      <b/>
      <u val="singleAccounting"/>
      <sz val="12"/>
      <name val="Calibri"/>
      <family val="2"/>
      <scheme val="minor"/>
    </font>
    <font>
      <u/>
      <sz val="12"/>
      <name val="Calibri"/>
      <family val="2"/>
      <scheme val="minor"/>
    </font>
    <font>
      <u/>
      <sz val="10"/>
      <color theme="1"/>
      <name val="Calibri"/>
      <family val="2"/>
      <scheme val="minor"/>
    </font>
    <font>
      <sz val="9"/>
      <name val="Calibri"/>
      <family val="2"/>
      <scheme val="minor"/>
    </font>
    <font>
      <b/>
      <sz val="9"/>
      <name val="Calibri"/>
      <family val="2"/>
      <scheme val="minor"/>
    </font>
    <font>
      <sz val="12"/>
      <color theme="4"/>
      <name val="Calibri"/>
      <family val="2"/>
      <scheme val="minor"/>
    </font>
    <font>
      <vertAlign val="superscript"/>
      <sz val="12"/>
      <name val="Calibri"/>
      <family val="2"/>
      <scheme val="minor"/>
    </font>
    <font>
      <b/>
      <vertAlign val="superscript"/>
      <sz val="12"/>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b/>
      <sz val="14"/>
      <color theme="1"/>
      <name val="Calibri"/>
      <family val="2"/>
      <scheme val="minor"/>
    </font>
    <font>
      <b/>
      <sz val="11"/>
      <color rgb="FFFFFF00"/>
      <name val="Calibri"/>
      <family val="2"/>
      <scheme val="minor"/>
    </font>
    <font>
      <sz val="11"/>
      <color theme="3"/>
      <name val="Calibri"/>
      <family val="2"/>
      <scheme val="minor"/>
    </font>
    <font>
      <sz val="11"/>
      <color theme="0"/>
      <name val="Calibri"/>
      <family val="2"/>
      <scheme val="minor"/>
    </font>
    <font>
      <b/>
      <u/>
      <sz val="11"/>
      <color rgb="FFFFFF00"/>
      <name val="Calibri"/>
      <family val="2"/>
      <scheme val="minor"/>
    </font>
    <font>
      <sz val="14"/>
      <color theme="3"/>
      <name val="Calibri"/>
      <family val="2"/>
      <scheme val="minor"/>
    </font>
    <font>
      <sz val="9"/>
      <color indexed="81"/>
      <name val="Tahoma"/>
      <family val="2"/>
    </font>
    <font>
      <b/>
      <sz val="9"/>
      <color indexed="81"/>
      <name val="Tahoma"/>
      <family val="2"/>
    </font>
    <font>
      <b/>
      <sz val="12"/>
      <name val="Arial"/>
      <family val="2"/>
    </font>
    <font>
      <u/>
      <sz val="10"/>
      <color theme="10"/>
      <name val="Arial"/>
      <family val="2"/>
    </font>
    <font>
      <b/>
      <sz val="10"/>
      <color theme="0"/>
      <name val="Arial"/>
      <family val="2"/>
    </font>
    <font>
      <b/>
      <sz val="10"/>
      <name val="Arial"/>
      <family val="2"/>
    </font>
    <font>
      <b/>
      <sz val="8"/>
      <name val="Arial"/>
      <family val="2"/>
    </font>
    <font>
      <sz val="10"/>
      <color theme="0"/>
      <name val="Arial"/>
      <family val="2"/>
    </font>
    <font>
      <b/>
      <sz val="11"/>
      <name val="Arial"/>
      <family val="2"/>
    </font>
    <font>
      <b/>
      <u/>
      <sz val="10"/>
      <color theme="10"/>
      <name val="Arial"/>
      <family val="2"/>
    </font>
  </fonts>
  <fills count="11">
    <fill>
      <patternFill patternType="none"/>
    </fill>
    <fill>
      <patternFill patternType="gray125"/>
    </fill>
    <fill>
      <patternFill patternType="solid">
        <fgColor theme="0"/>
        <bgColor indexed="64"/>
      </patternFill>
    </fill>
    <fill>
      <patternFill patternType="solid">
        <fgColor rgb="FF0068B3"/>
        <bgColor indexed="64"/>
      </patternFill>
    </fill>
    <fill>
      <gradientFill degree="90">
        <stop position="0">
          <color theme="4"/>
        </stop>
        <stop position="1">
          <color rgb="FF395E99"/>
        </stop>
      </gradientFill>
    </fill>
    <fill>
      <patternFill patternType="solid">
        <fgColor theme="4"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style="thin">
        <color indexed="64"/>
      </left>
      <right style="thin">
        <color theme="3" tint="-0.499984740745262"/>
      </right>
      <top style="thin">
        <color indexed="64"/>
      </top>
      <bottom style="thin">
        <color theme="3" tint="-0.499984740745262"/>
      </bottom>
      <diagonal/>
    </border>
    <border>
      <left style="thin">
        <color theme="3" tint="-0.499984740745262"/>
      </left>
      <right style="thin">
        <color indexed="64"/>
      </right>
      <top style="thin">
        <color indexed="64"/>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indexed="64"/>
      </left>
      <right style="thin">
        <color theme="3" tint="-0.499984740745262"/>
      </right>
      <top style="thin">
        <color theme="3" tint="-0.499984740745262"/>
      </top>
      <bottom style="thin">
        <color theme="3" tint="-0.499984740745262"/>
      </bottom>
      <diagonal/>
    </border>
    <border>
      <left style="thin">
        <color theme="3" tint="-0.499984740745262"/>
      </left>
      <right style="thin">
        <color indexed="64"/>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theme="3" tint="-0.499984740745262"/>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theme="3" tint="-0.499984740745262"/>
      </left>
      <right style="thin">
        <color indexed="64"/>
      </right>
      <top style="thin">
        <color indexed="64"/>
      </top>
      <bottom/>
      <diagonal/>
    </border>
    <border>
      <left/>
      <right style="thin">
        <color indexed="64"/>
      </right>
      <top/>
      <bottom/>
      <diagonal/>
    </border>
    <border>
      <left style="thin">
        <color theme="3" tint="-0.499984740745262"/>
      </left>
      <right style="thin">
        <color indexed="64"/>
      </right>
      <top/>
      <bottom/>
      <diagonal/>
    </border>
    <border>
      <left/>
      <right style="thin">
        <color indexed="64"/>
      </right>
      <top/>
      <bottom style="thin">
        <color indexed="64"/>
      </bottom>
      <diagonal/>
    </border>
    <border>
      <left style="thin">
        <color theme="3" tint="-0.499984740745262"/>
      </left>
      <right style="thin">
        <color indexed="64"/>
      </right>
      <top/>
      <bottom style="thin">
        <color indexed="64"/>
      </bottom>
      <diagonal/>
    </border>
    <border>
      <left style="thin">
        <color indexed="64"/>
      </left>
      <right style="thin">
        <color theme="3" tint="-0.499984740745262"/>
      </right>
      <top/>
      <bottom style="thin">
        <color indexed="64"/>
      </bottom>
      <diagonal/>
    </border>
    <border>
      <left style="thin">
        <color indexed="64"/>
      </left>
      <right style="thin">
        <color indexed="64"/>
      </right>
      <top style="thin">
        <color indexed="64"/>
      </top>
      <bottom style="thin">
        <color theme="3" tint="-0.499984740745262"/>
      </bottom>
      <diagonal/>
    </border>
    <border>
      <left style="thin">
        <color indexed="64"/>
      </left>
      <right style="thin">
        <color indexed="64"/>
      </right>
      <top style="thin">
        <color theme="3" tint="-0.499984740745262"/>
      </top>
      <bottom style="thin">
        <color theme="3" tint="-0.499984740745262"/>
      </bottom>
      <diagonal/>
    </border>
    <border>
      <left/>
      <right style="medium">
        <color indexed="64"/>
      </right>
      <top/>
      <bottom/>
      <diagonal/>
    </border>
    <border>
      <left/>
      <right/>
      <top/>
      <bottom style="medium">
        <color indexed="64"/>
      </bottom>
      <diagonal/>
    </border>
    <border>
      <left/>
      <right/>
      <top style="thin">
        <color indexed="64"/>
      </top>
      <bottom style="double">
        <color indexed="64"/>
      </bottom>
      <diagonal/>
    </border>
    <border>
      <left style="thin">
        <color theme="3" tint="-0.499984740745262"/>
      </left>
      <right/>
      <top/>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s>
  <cellStyleXfs count="9">
    <xf numFmtId="0" fontId="0" fillId="0" borderId="0"/>
    <xf numFmtId="167" fontId="1" fillId="0" borderId="0" applyFont="0" applyFill="0" applyBorder="0" applyAlignment="0" applyProtection="0"/>
    <xf numFmtId="0" fontId="19" fillId="0" borderId="0"/>
    <xf numFmtId="0" fontId="2" fillId="4" borderId="24" applyNumberFormat="0" applyProtection="0">
      <alignment horizontal="center" vertical="center" wrapText="1"/>
    </xf>
    <xf numFmtId="167" fontId="19"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166" fontId="19" fillId="0" borderId="0" applyFont="0" applyFill="0" applyBorder="0" applyAlignment="0" applyProtection="0"/>
  </cellStyleXfs>
  <cellXfs count="843">
    <xf numFmtId="0" fontId="0" fillId="0" borderId="0" xfId="0"/>
    <xf numFmtId="0" fontId="3" fillId="2" borderId="0" xfId="0" applyFont="1" applyFill="1"/>
    <xf numFmtId="0" fontId="4" fillId="2" borderId="1" xfId="0" applyFont="1" applyFill="1" applyBorder="1" applyAlignment="1">
      <alignment horizontal="center"/>
    </xf>
    <xf numFmtId="0" fontId="7" fillId="3" borderId="3" xfId="0" applyFont="1" applyFill="1" applyBorder="1" applyAlignment="1">
      <alignment horizontal="center"/>
    </xf>
    <xf numFmtId="0" fontId="7" fillId="3" borderId="2" xfId="0" applyFont="1" applyFill="1" applyBorder="1" applyAlignment="1">
      <alignment horizontal="center"/>
    </xf>
    <xf numFmtId="0" fontId="7" fillId="3" borderId="7" xfId="0" applyFont="1" applyFill="1" applyBorder="1" applyAlignment="1">
      <alignment horizontal="center"/>
    </xf>
    <xf numFmtId="0" fontId="3" fillId="2" borderId="6" xfId="0" applyFont="1" applyFill="1" applyBorder="1"/>
    <xf numFmtId="0" fontId="9" fillId="2" borderId="0" xfId="0" applyFont="1" applyFill="1"/>
    <xf numFmtId="0" fontId="9" fillId="2" borderId="6" xfId="0" quotePrefix="1" applyFont="1" applyFill="1" applyBorder="1" applyAlignment="1">
      <alignment horizontal="left"/>
    </xf>
    <xf numFmtId="168" fontId="9" fillId="2" borderId="6" xfId="1" applyNumberFormat="1" applyFont="1" applyFill="1" applyBorder="1" applyAlignment="1">
      <alignment horizontal="center"/>
    </xf>
    <xf numFmtId="168" fontId="3" fillId="2" borderId="6" xfId="1" applyNumberFormat="1" applyFont="1" applyFill="1" applyBorder="1" applyAlignment="1">
      <alignment horizontal="center"/>
    </xf>
    <xf numFmtId="0" fontId="9" fillId="2" borderId="6" xfId="0" applyFont="1" applyFill="1" applyBorder="1"/>
    <xf numFmtId="0" fontId="3" fillId="2" borderId="6" xfId="0" quotePrefix="1" applyFont="1" applyFill="1" applyBorder="1" applyAlignment="1">
      <alignment horizontal="left"/>
    </xf>
    <xf numFmtId="0" fontId="3" fillId="2" borderId="7" xfId="0" applyFont="1" applyFill="1" applyBorder="1"/>
    <xf numFmtId="168" fontId="3" fillId="2" borderId="7" xfId="1" applyNumberFormat="1" applyFont="1" applyFill="1" applyBorder="1" applyAlignment="1">
      <alignment horizontal="center"/>
    </xf>
    <xf numFmtId="0" fontId="10" fillId="2" borderId="0" xfId="0" applyFont="1" applyFill="1"/>
    <xf numFmtId="168" fontId="3" fillId="2" borderId="0" xfId="0" applyNumberFormat="1" applyFont="1" applyFill="1"/>
    <xf numFmtId="0" fontId="11" fillId="2" borderId="0" xfId="0" applyFont="1" applyFill="1"/>
    <xf numFmtId="168" fontId="11" fillId="2" borderId="0" xfId="0" applyNumberFormat="1" applyFont="1" applyFill="1"/>
    <xf numFmtId="0" fontId="12" fillId="2" borderId="0" xfId="0" applyFont="1" applyFill="1"/>
    <xf numFmtId="0" fontId="13" fillId="2" borderId="0" xfId="0" applyFont="1" applyFill="1"/>
    <xf numFmtId="0" fontId="14" fillId="3" borderId="2" xfId="0" applyFont="1" applyFill="1" applyBorder="1"/>
    <xf numFmtId="0" fontId="14" fillId="3" borderId="6" xfId="0" applyFont="1" applyFill="1" applyBorder="1" applyAlignment="1">
      <alignment horizontal="center"/>
    </xf>
    <xf numFmtId="0" fontId="12" fillId="3" borderId="7" xfId="0" applyFont="1" applyFill="1" applyBorder="1"/>
    <xf numFmtId="0" fontId="14" fillId="3" borderId="1" xfId="0" applyFont="1" applyFill="1" applyBorder="1" applyAlignment="1">
      <alignment horizontal="center"/>
    </xf>
    <xf numFmtId="0" fontId="14" fillId="3" borderId="7" xfId="0" applyFont="1" applyFill="1" applyBorder="1" applyAlignment="1">
      <alignment horizontal="center" vertical="center" wrapText="1"/>
    </xf>
    <xf numFmtId="0" fontId="14" fillId="3" borderId="7" xfId="0" applyFont="1" applyFill="1" applyBorder="1" applyAlignment="1">
      <alignment horizontal="center"/>
    </xf>
    <xf numFmtId="0" fontId="9" fillId="2" borderId="6" xfId="0" applyFont="1" applyFill="1" applyBorder="1" applyAlignment="1">
      <alignment horizontal="center"/>
    </xf>
    <xf numFmtId="38" fontId="9" fillId="2" borderId="6" xfId="0" applyNumberFormat="1" applyFont="1" applyFill="1" applyBorder="1"/>
    <xf numFmtId="165" fontId="3" fillId="2" borderId="6" xfId="1" applyNumberFormat="1" applyFont="1" applyFill="1" applyBorder="1" applyAlignment="1">
      <alignment horizontal="center"/>
    </xf>
    <xf numFmtId="38" fontId="3" fillId="2" borderId="6" xfId="0" applyNumberFormat="1" applyFont="1" applyFill="1" applyBorder="1"/>
    <xf numFmtId="167" fontId="3" fillId="2" borderId="6" xfId="1" applyFont="1" applyFill="1" applyBorder="1" applyAlignment="1">
      <alignment horizontal="center"/>
    </xf>
    <xf numFmtId="167" fontId="9" fillId="2" borderId="6" xfId="1" applyFont="1" applyFill="1" applyBorder="1" applyAlignment="1">
      <alignment horizontal="center"/>
    </xf>
    <xf numFmtId="165" fontId="9" fillId="2" borderId="6" xfId="1" applyNumberFormat="1" applyFont="1" applyFill="1" applyBorder="1" applyAlignment="1">
      <alignment horizontal="center"/>
    </xf>
    <xf numFmtId="38" fontId="3" fillId="2" borderId="6" xfId="0" applyNumberFormat="1" applyFont="1" applyFill="1" applyBorder="1" applyAlignment="1">
      <alignment horizontal="center"/>
    </xf>
    <xf numFmtId="38" fontId="3" fillId="2" borderId="7" xfId="0" applyNumberFormat="1" applyFont="1" applyFill="1" applyBorder="1"/>
    <xf numFmtId="0" fontId="15" fillId="2" borderId="0" xfId="0" applyFont="1" applyFill="1"/>
    <xf numFmtId="38" fontId="3" fillId="2" borderId="0" xfId="0" applyNumberFormat="1" applyFont="1" applyFill="1"/>
    <xf numFmtId="0" fontId="16" fillId="2" borderId="0" xfId="0" applyFont="1" applyFill="1"/>
    <xf numFmtId="3" fontId="3" fillId="2" borderId="0" xfId="0" applyNumberFormat="1" applyFont="1" applyFill="1"/>
    <xf numFmtId="168" fontId="3" fillId="2" borderId="4" xfId="1" applyNumberFormat="1" applyFont="1" applyFill="1" applyBorder="1" applyAlignment="1">
      <alignment horizontal="center"/>
    </xf>
    <xf numFmtId="0" fontId="18" fillId="0" borderId="1" xfId="0" applyFont="1" applyBorder="1" applyAlignment="1">
      <alignment horizontal="center" wrapText="1"/>
    </xf>
    <xf numFmtId="0" fontId="18" fillId="0" borderId="9" xfId="0" applyFont="1" applyBorder="1" applyAlignment="1">
      <alignment horizontal="center" wrapText="1"/>
    </xf>
    <xf numFmtId="0" fontId="17" fillId="0" borderId="7" xfId="0" applyFont="1" applyBorder="1" applyAlignment="1">
      <alignment horizontal="center"/>
    </xf>
    <xf numFmtId="164" fontId="17" fillId="0" borderId="21" xfId="0" applyNumberFormat="1" applyFont="1" applyBorder="1" applyAlignment="1">
      <alignment horizontal="center"/>
    </xf>
    <xf numFmtId="10" fontId="17" fillId="0" borderId="21" xfId="0" applyNumberFormat="1" applyFont="1" applyBorder="1" applyAlignment="1">
      <alignment horizontal="center"/>
    </xf>
    <xf numFmtId="10" fontId="18" fillId="0" borderId="21" xfId="0" applyNumberFormat="1" applyFont="1" applyBorder="1" applyAlignment="1">
      <alignment horizontal="center"/>
    </xf>
    <xf numFmtId="0" fontId="20" fillId="0" borderId="0" xfId="2" applyFont="1"/>
    <xf numFmtId="17" fontId="21" fillId="0" borderId="0" xfId="2" quotePrefix="1" applyNumberFormat="1" applyFont="1"/>
    <xf numFmtId="0" fontId="3" fillId="0" borderId="0" xfId="2" applyFont="1"/>
    <xf numFmtId="0" fontId="12" fillId="0" borderId="0" xfId="2" applyFont="1"/>
    <xf numFmtId="0" fontId="22" fillId="0" borderId="0" xfId="2" applyFont="1"/>
    <xf numFmtId="17" fontId="21" fillId="0" borderId="0" xfId="2" applyNumberFormat="1" applyFont="1"/>
    <xf numFmtId="0" fontId="20" fillId="0" borderId="23" xfId="2" applyFont="1" applyBorder="1"/>
    <xf numFmtId="0" fontId="22" fillId="0" borderId="23" xfId="2" applyFont="1" applyBorder="1"/>
    <xf numFmtId="0" fontId="22" fillId="0" borderId="23" xfId="2" applyFont="1" applyBorder="1" applyAlignment="1">
      <alignment horizontal="right"/>
    </xf>
    <xf numFmtId="0" fontId="2" fillId="4" borderId="31" xfId="3" applyBorder="1">
      <alignment horizontal="center" vertical="center" wrapText="1"/>
    </xf>
    <xf numFmtId="0" fontId="2" fillId="4" borderId="24" xfId="3" applyAlignment="1">
      <alignment horizontal="right" vertical="center" wrapText="1"/>
    </xf>
    <xf numFmtId="0" fontId="23" fillId="2" borderId="11" xfId="2" applyFont="1" applyFill="1" applyBorder="1"/>
    <xf numFmtId="0" fontId="23" fillId="2" borderId="14" xfId="2" applyFont="1" applyFill="1" applyBorder="1" applyAlignment="1">
      <alignment horizontal="left"/>
    </xf>
    <xf numFmtId="0" fontId="24" fillId="2" borderId="11" xfId="2" applyFont="1" applyFill="1" applyBorder="1"/>
    <xf numFmtId="0" fontId="24" fillId="2" borderId="13" xfId="2" applyFont="1" applyFill="1" applyBorder="1" applyAlignment="1">
      <alignment horizontal="right"/>
    </xf>
    <xf numFmtId="0" fontId="24" fillId="2" borderId="15" xfId="2" applyFont="1" applyFill="1" applyBorder="1"/>
    <xf numFmtId="0" fontId="24" fillId="2" borderId="14" xfId="2" applyFont="1" applyFill="1" applyBorder="1"/>
    <xf numFmtId="0" fontId="24" fillId="2" borderId="32" xfId="2" applyFont="1" applyFill="1" applyBorder="1" applyAlignment="1">
      <alignment horizontal="right"/>
    </xf>
    <xf numFmtId="0" fontId="23" fillId="2" borderId="12" xfId="2" applyFont="1" applyFill="1" applyBorder="1" applyAlignment="1">
      <alignment horizontal="left" vertical="top"/>
    </xf>
    <xf numFmtId="37" fontId="25" fillId="2" borderId="16" xfId="2" applyNumberFormat="1" applyFont="1" applyFill="1" applyBorder="1"/>
    <xf numFmtId="37" fontId="25" fillId="2" borderId="12" xfId="2" applyNumberFormat="1" applyFont="1" applyFill="1" applyBorder="1" applyAlignment="1">
      <alignment horizontal="right"/>
    </xf>
    <xf numFmtId="3" fontId="25" fillId="2" borderId="33" xfId="2" applyNumberFormat="1" applyFont="1" applyFill="1" applyBorder="1"/>
    <xf numFmtId="37" fontId="25" fillId="2" borderId="34" xfId="2" applyNumberFormat="1" applyFont="1" applyFill="1" applyBorder="1"/>
    <xf numFmtId="169" fontId="25" fillId="2" borderId="35" xfId="2" applyNumberFormat="1" applyFont="1" applyFill="1" applyBorder="1" applyAlignment="1">
      <alignment horizontal="right"/>
    </xf>
    <xf numFmtId="17" fontId="22" fillId="0" borderId="0" xfId="2" applyNumberFormat="1" applyFont="1"/>
    <xf numFmtId="0" fontId="23" fillId="2" borderId="17" xfId="2" applyFont="1" applyFill="1" applyBorder="1" applyAlignment="1">
      <alignment horizontal="left" vertical="top"/>
    </xf>
    <xf numFmtId="37" fontId="25" fillId="2" borderId="18" xfId="2" applyNumberFormat="1" applyFont="1" applyFill="1" applyBorder="1"/>
    <xf numFmtId="37" fontId="25" fillId="2" borderId="17" xfId="2" applyNumberFormat="1" applyFont="1" applyFill="1" applyBorder="1" applyAlignment="1">
      <alignment horizontal="right"/>
    </xf>
    <xf numFmtId="168" fontId="25" fillId="2" borderId="36" xfId="2" applyNumberFormat="1" applyFont="1" applyFill="1" applyBorder="1"/>
    <xf numFmtId="37" fontId="25" fillId="2" borderId="0" xfId="2" applyNumberFormat="1" applyFont="1" applyFill="1"/>
    <xf numFmtId="169" fontId="25" fillId="2" borderId="37" xfId="2" applyNumberFormat="1" applyFont="1" applyFill="1" applyBorder="1" applyAlignment="1">
      <alignment horizontal="right"/>
    </xf>
    <xf numFmtId="3" fontId="23" fillId="0" borderId="0" xfId="2" applyNumberFormat="1" applyFont="1"/>
    <xf numFmtId="0" fontId="24" fillId="2" borderId="17" xfId="2" applyFont="1" applyFill="1" applyBorder="1" applyAlignment="1">
      <alignment horizontal="left" vertical="top" indent="5"/>
    </xf>
    <xf numFmtId="37" fontId="26" fillId="2" borderId="18" xfId="2" applyNumberFormat="1" applyFont="1" applyFill="1" applyBorder="1"/>
    <xf numFmtId="37" fontId="26" fillId="2" borderId="17" xfId="2" applyNumberFormat="1" applyFont="1" applyFill="1" applyBorder="1" applyAlignment="1">
      <alignment horizontal="right"/>
    </xf>
    <xf numFmtId="168" fontId="26" fillId="2" borderId="36" xfId="2" applyNumberFormat="1" applyFont="1" applyFill="1" applyBorder="1"/>
    <xf numFmtId="37" fontId="26" fillId="2" borderId="0" xfId="2" applyNumberFormat="1" applyFont="1" applyFill="1"/>
    <xf numFmtId="169" fontId="26" fillId="2" borderId="37" xfId="2" applyNumberFormat="1" applyFont="1" applyFill="1" applyBorder="1" applyAlignment="1">
      <alignment horizontal="right"/>
    </xf>
    <xf numFmtId="3" fontId="25" fillId="2" borderId="36" xfId="2" applyNumberFormat="1" applyFont="1" applyFill="1" applyBorder="1"/>
    <xf numFmtId="0" fontId="23" fillId="2" borderId="18" xfId="2" applyFont="1" applyFill="1" applyBorder="1" applyAlignment="1">
      <alignment horizontal="right" vertical="top" wrapText="1"/>
    </xf>
    <xf numFmtId="0" fontId="23" fillId="2" borderId="20" xfId="2" applyFont="1" applyFill="1" applyBorder="1" applyAlignment="1">
      <alignment horizontal="right" vertical="top"/>
    </xf>
    <xf numFmtId="0" fontId="24" fillId="2" borderId="20" xfId="2" applyFont="1" applyFill="1" applyBorder="1" applyAlignment="1">
      <alignment horizontal="left" vertical="top" indent="5"/>
    </xf>
    <xf numFmtId="37" fontId="26" fillId="2" borderId="20" xfId="2" applyNumberFormat="1" applyFont="1" applyFill="1" applyBorder="1"/>
    <xf numFmtId="37" fontId="26" fillId="2" borderId="19" xfId="2" applyNumberFormat="1" applyFont="1" applyFill="1" applyBorder="1" applyAlignment="1">
      <alignment horizontal="right"/>
    </xf>
    <xf numFmtId="3" fontId="25" fillId="2" borderId="38" xfId="2" applyNumberFormat="1" applyFont="1" applyFill="1" applyBorder="1"/>
    <xf numFmtId="37" fontId="26" fillId="2" borderId="23" xfId="2" applyNumberFormat="1" applyFont="1" applyFill="1" applyBorder="1"/>
    <xf numFmtId="169" fontId="26" fillId="2" borderId="39" xfId="2" applyNumberFormat="1" applyFont="1" applyFill="1" applyBorder="1" applyAlignment="1">
      <alignment horizontal="right"/>
    </xf>
    <xf numFmtId="0" fontId="23" fillId="2" borderId="16" xfId="2" applyFont="1" applyFill="1" applyBorder="1" applyAlignment="1">
      <alignment horizontal="right" vertical="top" wrapText="1"/>
    </xf>
    <xf numFmtId="37" fontId="25" fillId="2" borderId="37" xfId="2" applyNumberFormat="1" applyFont="1" applyFill="1" applyBorder="1" applyAlignment="1">
      <alignment horizontal="right"/>
    </xf>
    <xf numFmtId="3" fontId="22" fillId="0" borderId="0" xfId="2" applyNumberFormat="1" applyFont="1"/>
    <xf numFmtId="0" fontId="24" fillId="2" borderId="17" xfId="2" applyFont="1" applyFill="1" applyBorder="1" applyAlignment="1">
      <alignment horizontal="left" vertical="top" indent="2"/>
    </xf>
    <xf numFmtId="170" fontId="26" fillId="2" borderId="0" xfId="2" applyNumberFormat="1" applyFont="1" applyFill="1" applyAlignment="1">
      <alignment horizontal="right" vertical="top"/>
    </xf>
    <xf numFmtId="0" fontId="23" fillId="2" borderId="20" xfId="2" applyFont="1" applyFill="1" applyBorder="1" applyAlignment="1">
      <alignment horizontal="right" vertical="top" wrapText="1"/>
    </xf>
    <xf numFmtId="0" fontId="24" fillId="2" borderId="19" xfId="2" applyFont="1" applyFill="1" applyBorder="1" applyAlignment="1">
      <alignment horizontal="left" vertical="top" indent="2"/>
    </xf>
    <xf numFmtId="168" fontId="26" fillId="2" borderId="38" xfId="2" applyNumberFormat="1" applyFont="1" applyFill="1" applyBorder="1"/>
    <xf numFmtId="37" fontId="26" fillId="2" borderId="40" xfId="2" applyNumberFormat="1" applyFont="1" applyFill="1" applyBorder="1" applyAlignment="1">
      <alignment horizontal="right" vertical="top"/>
    </xf>
    <xf numFmtId="37" fontId="25" fillId="2" borderId="18" xfId="2" applyNumberFormat="1" applyFont="1" applyFill="1" applyBorder="1" applyAlignment="1">
      <alignment horizontal="right"/>
    </xf>
    <xf numFmtId="168" fontId="25" fillId="2" borderId="36" xfId="2" applyNumberFormat="1" applyFont="1" applyFill="1" applyBorder="1" applyAlignment="1">
      <alignment horizontal="right"/>
    </xf>
    <xf numFmtId="37" fontId="25" fillId="2" borderId="0" xfId="2" applyNumberFormat="1" applyFont="1" applyFill="1" applyAlignment="1">
      <alignment horizontal="right"/>
    </xf>
    <xf numFmtId="37" fontId="26" fillId="2" borderId="18" xfId="2" applyNumberFormat="1" applyFont="1" applyFill="1" applyBorder="1" applyAlignment="1">
      <alignment horizontal="right"/>
    </xf>
    <xf numFmtId="170" fontId="26" fillId="2" borderId="0" xfId="2" applyNumberFormat="1" applyFont="1" applyFill="1" applyAlignment="1">
      <alignment vertical="top"/>
    </xf>
    <xf numFmtId="37" fontId="26" fillId="2" borderId="20" xfId="2" applyNumberFormat="1" applyFont="1" applyFill="1" applyBorder="1" applyAlignment="1">
      <alignment horizontal="right"/>
    </xf>
    <xf numFmtId="168" fontId="25" fillId="2" borderId="38" xfId="2" applyNumberFormat="1" applyFont="1" applyFill="1" applyBorder="1" applyAlignment="1">
      <alignment horizontal="right"/>
    </xf>
    <xf numFmtId="37" fontId="26" fillId="2" borderId="23" xfId="2" applyNumberFormat="1" applyFont="1" applyFill="1" applyBorder="1" applyAlignment="1">
      <alignment horizontal="right"/>
    </xf>
    <xf numFmtId="0" fontId="23" fillId="2" borderId="12" xfId="2" applyFont="1" applyFill="1" applyBorder="1" applyAlignment="1">
      <alignment horizontal="left" vertical="top" wrapText="1"/>
    </xf>
    <xf numFmtId="169" fontId="25" fillId="2" borderId="16" xfId="2" applyNumberFormat="1" applyFont="1" applyFill="1" applyBorder="1" applyAlignment="1">
      <alignment vertical="top"/>
    </xf>
    <xf numFmtId="171" fontId="25" fillId="2" borderId="12" xfId="2" applyNumberFormat="1" applyFont="1" applyFill="1" applyBorder="1" applyAlignment="1">
      <alignment horizontal="right" vertical="top"/>
    </xf>
    <xf numFmtId="172" fontId="25" fillId="2" borderId="33" xfId="2" applyNumberFormat="1" applyFont="1" applyFill="1" applyBorder="1" applyAlignment="1">
      <alignment vertical="top"/>
    </xf>
    <xf numFmtId="171" fontId="25" fillId="2" borderId="34" xfId="2" applyNumberFormat="1" applyFont="1" applyFill="1" applyBorder="1" applyAlignment="1">
      <alignment vertical="top"/>
    </xf>
    <xf numFmtId="0" fontId="28" fillId="2" borderId="35" xfId="2" applyFont="1" applyFill="1" applyBorder="1" applyAlignment="1">
      <alignment horizontal="right"/>
    </xf>
    <xf numFmtId="169" fontId="25" fillId="2" borderId="18" xfId="2" applyNumberFormat="1" applyFont="1" applyFill="1" applyBorder="1" applyAlignment="1">
      <alignment vertical="top"/>
    </xf>
    <xf numFmtId="171" fontId="25" fillId="2" borderId="17" xfId="2" applyNumberFormat="1" applyFont="1" applyFill="1" applyBorder="1" applyAlignment="1">
      <alignment horizontal="right" vertical="top"/>
    </xf>
    <xf numFmtId="173" fontId="25" fillId="2" borderId="36" xfId="2" applyNumberFormat="1" applyFont="1" applyFill="1" applyBorder="1" applyAlignment="1">
      <alignment vertical="top"/>
    </xf>
    <xf numFmtId="171" fontId="25" fillId="2" borderId="0" xfId="2" applyNumberFormat="1" applyFont="1" applyFill="1" applyAlignment="1">
      <alignment vertical="top"/>
    </xf>
    <xf numFmtId="0" fontId="28" fillId="2" borderId="37" xfId="2" applyFont="1" applyFill="1" applyBorder="1" applyAlignment="1">
      <alignment horizontal="right"/>
    </xf>
    <xf numFmtId="0" fontId="24" fillId="2" borderId="17" xfId="2" applyFont="1" applyFill="1" applyBorder="1" applyAlignment="1">
      <alignment horizontal="left" vertical="top" indent="1"/>
    </xf>
    <xf numFmtId="169" fontId="26" fillId="2" borderId="18" xfId="2" applyNumberFormat="1" applyFont="1" applyFill="1" applyBorder="1" applyAlignment="1">
      <alignment vertical="top"/>
    </xf>
    <xf numFmtId="171" fontId="26" fillId="2" borderId="17" xfId="2" applyNumberFormat="1" applyFont="1" applyFill="1" applyBorder="1" applyAlignment="1">
      <alignment horizontal="right" vertical="top"/>
    </xf>
    <xf numFmtId="173" fontId="26" fillId="2" borderId="36" xfId="2" applyNumberFormat="1" applyFont="1" applyFill="1" applyBorder="1" applyAlignment="1">
      <alignment vertical="top"/>
    </xf>
    <xf numFmtId="171" fontId="26" fillId="2" borderId="0" xfId="2" applyNumberFormat="1" applyFont="1" applyFill="1" applyAlignment="1">
      <alignment vertical="top"/>
    </xf>
    <xf numFmtId="0" fontId="26" fillId="2" borderId="37" xfId="2" applyFont="1" applyFill="1" applyBorder="1" applyAlignment="1">
      <alignment horizontal="right"/>
    </xf>
    <xf numFmtId="172" fontId="25" fillId="2" borderId="36" xfId="2" applyNumberFormat="1" applyFont="1" applyFill="1" applyBorder="1" applyAlignment="1">
      <alignment vertical="top"/>
    </xf>
    <xf numFmtId="172" fontId="26" fillId="2" borderId="36" xfId="2" applyNumberFormat="1" applyFont="1" applyFill="1" applyBorder="1" applyAlignment="1">
      <alignment vertical="top"/>
    </xf>
    <xf numFmtId="0" fontId="24" fillId="2" borderId="19" xfId="2" applyFont="1" applyFill="1" applyBorder="1" applyAlignment="1">
      <alignment horizontal="left" vertical="top" indent="1"/>
    </xf>
    <xf numFmtId="169" fontId="26" fillId="2" borderId="20" xfId="2" applyNumberFormat="1" applyFont="1" applyFill="1" applyBorder="1" applyAlignment="1">
      <alignment vertical="top"/>
    </xf>
    <xf numFmtId="171" fontId="26" fillId="2" borderId="19" xfId="2" applyNumberFormat="1" applyFont="1" applyFill="1" applyBorder="1" applyAlignment="1">
      <alignment horizontal="right" vertical="top"/>
    </xf>
    <xf numFmtId="172" fontId="26" fillId="2" borderId="38" xfId="2" applyNumberFormat="1" applyFont="1" applyFill="1" applyBorder="1" applyAlignment="1">
      <alignment vertical="top"/>
    </xf>
    <xf numFmtId="171" fontId="26" fillId="2" borderId="23" xfId="2" applyNumberFormat="1" applyFont="1" applyFill="1" applyBorder="1" applyAlignment="1">
      <alignment vertical="top"/>
    </xf>
    <xf numFmtId="0" fontId="26" fillId="2" borderId="39" xfId="2" applyFont="1" applyFill="1" applyBorder="1" applyAlignment="1">
      <alignment horizontal="right"/>
    </xf>
    <xf numFmtId="0" fontId="23" fillId="2" borderId="18" xfId="2" applyFont="1" applyFill="1" applyBorder="1" applyAlignment="1">
      <alignment vertical="top" wrapText="1"/>
    </xf>
    <xf numFmtId="0" fontId="23" fillId="2" borderId="17" xfId="2" applyFont="1" applyFill="1" applyBorder="1" applyAlignment="1">
      <alignment vertical="top" wrapText="1"/>
    </xf>
    <xf numFmtId="169" fontId="25" fillId="2" borderId="18" xfId="2" applyNumberFormat="1" applyFont="1" applyFill="1" applyBorder="1"/>
    <xf numFmtId="171" fontId="25" fillId="2" borderId="17" xfId="2" applyNumberFormat="1" applyFont="1" applyFill="1" applyBorder="1" applyAlignment="1">
      <alignment horizontal="right"/>
    </xf>
    <xf numFmtId="172" fontId="25" fillId="2" borderId="36" xfId="2" applyNumberFormat="1" applyFont="1" applyFill="1" applyBorder="1"/>
    <xf numFmtId="171" fontId="25" fillId="2" borderId="0" xfId="2" applyNumberFormat="1" applyFont="1" applyFill="1"/>
    <xf numFmtId="0" fontId="23" fillId="2" borderId="17" xfId="2" applyFont="1" applyFill="1" applyBorder="1" applyAlignment="1">
      <alignment vertical="top"/>
    </xf>
    <xf numFmtId="169" fontId="26" fillId="2" borderId="18" xfId="2" applyNumberFormat="1" applyFont="1" applyFill="1" applyBorder="1"/>
    <xf numFmtId="171" fontId="26" fillId="2" borderId="17" xfId="2" applyNumberFormat="1" applyFont="1" applyFill="1" applyBorder="1" applyAlignment="1">
      <alignment horizontal="right"/>
    </xf>
    <xf numFmtId="172" fontId="26" fillId="2" borderId="36" xfId="2" applyNumberFormat="1" applyFont="1" applyFill="1" applyBorder="1"/>
    <xf numFmtId="171" fontId="26" fillId="2" borderId="0" xfId="2" applyNumberFormat="1" applyFont="1" applyFill="1"/>
    <xf numFmtId="169" fontId="26" fillId="2" borderId="20" xfId="2" applyNumberFormat="1" applyFont="1" applyFill="1" applyBorder="1"/>
    <xf numFmtId="171" fontId="26" fillId="2" borderId="19" xfId="2" applyNumberFormat="1" applyFont="1" applyFill="1" applyBorder="1" applyAlignment="1">
      <alignment horizontal="right"/>
    </xf>
    <xf numFmtId="172" fontId="26" fillId="2" borderId="38" xfId="2" applyNumberFormat="1" applyFont="1" applyFill="1" applyBorder="1"/>
    <xf numFmtId="171" fontId="26" fillId="2" borderId="23" xfId="2" applyNumberFormat="1" applyFont="1" applyFill="1" applyBorder="1"/>
    <xf numFmtId="0" fontId="23" fillId="2" borderId="16" xfId="2" applyFont="1" applyFill="1" applyBorder="1" applyAlignment="1">
      <alignment vertical="top" wrapText="1"/>
    </xf>
    <xf numFmtId="0" fontId="23" fillId="2" borderId="12" xfId="2" applyFont="1" applyFill="1" applyBorder="1" applyAlignment="1">
      <alignment vertical="top" wrapText="1"/>
    </xf>
    <xf numFmtId="0" fontId="24" fillId="2" borderId="17" xfId="2" applyFont="1" applyFill="1" applyBorder="1" applyAlignment="1">
      <alignment horizontal="left" vertical="top"/>
    </xf>
    <xf numFmtId="37" fontId="26" fillId="2" borderId="36" xfId="2" applyNumberFormat="1" applyFont="1" applyFill="1" applyBorder="1"/>
    <xf numFmtId="168" fontId="22" fillId="0" borderId="0" xfId="4" applyNumberFormat="1" applyFont="1"/>
    <xf numFmtId="3" fontId="26" fillId="2" borderId="36" xfId="2" applyNumberFormat="1" applyFont="1" applyFill="1" applyBorder="1"/>
    <xf numFmtId="174" fontId="26" fillId="2" borderId="0" xfId="2" applyNumberFormat="1" applyFont="1" applyFill="1" applyAlignment="1">
      <alignment vertical="top"/>
    </xf>
    <xf numFmtId="168" fontId="26" fillId="2" borderId="0" xfId="2" applyNumberFormat="1" applyFont="1" applyFill="1" applyAlignment="1">
      <alignment horizontal="right" vertical="top"/>
    </xf>
    <xf numFmtId="170" fontId="26" fillId="2" borderId="36" xfId="2" applyNumberFormat="1" applyFont="1" applyFill="1" applyBorder="1"/>
    <xf numFmtId="0" fontId="23" fillId="2" borderId="20" xfId="2" applyFont="1" applyFill="1" applyBorder="1" applyAlignment="1">
      <alignment vertical="top" wrapText="1"/>
    </xf>
    <xf numFmtId="0" fontId="24" fillId="2" borderId="19" xfId="2" applyFont="1" applyFill="1" applyBorder="1" applyAlignment="1">
      <alignment vertical="top"/>
    </xf>
    <xf numFmtId="3" fontId="26" fillId="2" borderId="19" xfId="2" applyNumberFormat="1" applyFont="1" applyFill="1" applyBorder="1" applyAlignment="1">
      <alignment horizontal="right"/>
    </xf>
    <xf numFmtId="3" fontId="26" fillId="2" borderId="38" xfId="2" applyNumberFormat="1" applyFont="1" applyFill="1" applyBorder="1"/>
    <xf numFmtId="175" fontId="26" fillId="2" borderId="39" xfId="2" applyNumberFormat="1" applyFont="1" applyFill="1" applyBorder="1" applyAlignment="1">
      <alignment horizontal="right"/>
    </xf>
    <xf numFmtId="0" fontId="23" fillId="2" borderId="18" xfId="2" applyFont="1" applyFill="1" applyBorder="1" applyAlignment="1">
      <alignment vertical="top"/>
    </xf>
    <xf numFmtId="37" fontId="25" fillId="2" borderId="18" xfId="2" applyNumberFormat="1" applyFont="1" applyFill="1" applyBorder="1" applyAlignment="1">
      <alignment horizontal="right" vertical="top"/>
    </xf>
    <xf numFmtId="37" fontId="25" fillId="2" borderId="17" xfId="2" applyNumberFormat="1" applyFont="1" applyFill="1" applyBorder="1" applyAlignment="1">
      <alignment horizontal="right" vertical="top"/>
    </xf>
    <xf numFmtId="3" fontId="25" fillId="2" borderId="36" xfId="2" applyNumberFormat="1" applyFont="1" applyFill="1" applyBorder="1" applyAlignment="1">
      <alignment horizontal="right" vertical="top"/>
    </xf>
    <xf numFmtId="37" fontId="25" fillId="2" borderId="0" xfId="2" applyNumberFormat="1" applyFont="1" applyFill="1" applyAlignment="1">
      <alignment horizontal="right" vertical="top"/>
    </xf>
    <xf numFmtId="169" fontId="25" fillId="2" borderId="16" xfId="2" applyNumberFormat="1" applyFont="1" applyFill="1" applyBorder="1" applyAlignment="1">
      <alignment horizontal="right" vertical="top"/>
    </xf>
    <xf numFmtId="3" fontId="22" fillId="0" borderId="0" xfId="2" applyNumberFormat="1" applyFont="1" applyAlignment="1">
      <alignment horizontal="left"/>
    </xf>
    <xf numFmtId="0" fontId="24" fillId="2" borderId="17" xfId="2" applyFont="1" applyFill="1" applyBorder="1" applyAlignment="1">
      <alignment horizontal="left" vertical="top" shrinkToFit="1"/>
    </xf>
    <xf numFmtId="37" fontId="26" fillId="2" borderId="36" xfId="2" applyNumberFormat="1" applyFont="1" applyFill="1" applyBorder="1" applyAlignment="1">
      <alignment horizontal="right"/>
    </xf>
    <xf numFmtId="37" fontId="26" fillId="2" borderId="0" xfId="2" applyNumberFormat="1" applyFont="1" applyFill="1" applyAlignment="1">
      <alignment horizontal="right"/>
    </xf>
    <xf numFmtId="169" fontId="26" fillId="2" borderId="18" xfId="2" applyNumberFormat="1" applyFont="1" applyFill="1" applyBorder="1" applyAlignment="1">
      <alignment horizontal="right"/>
    </xf>
    <xf numFmtId="3" fontId="24" fillId="0" borderId="0" xfId="2" applyNumberFormat="1" applyFont="1"/>
    <xf numFmtId="0" fontId="22" fillId="0" borderId="0" xfId="2" applyFont="1" applyAlignment="1">
      <alignment horizontal="right"/>
    </xf>
    <xf numFmtId="0" fontId="23" fillId="2" borderId="20" xfId="2" applyFont="1" applyFill="1" applyBorder="1" applyAlignment="1">
      <alignment vertical="top"/>
    </xf>
    <xf numFmtId="3" fontId="26" fillId="2" borderId="23" xfId="2" applyNumberFormat="1" applyFont="1" applyFill="1" applyBorder="1"/>
    <xf numFmtId="169" fontId="26" fillId="2" borderId="20" xfId="2" applyNumberFormat="1" applyFont="1" applyFill="1" applyBorder="1" applyAlignment="1">
      <alignment horizontal="right"/>
    </xf>
    <xf numFmtId="37" fontId="25" fillId="2" borderId="36" xfId="2" applyNumberFormat="1" applyFont="1" applyFill="1" applyBorder="1" applyAlignment="1">
      <alignment horizontal="right"/>
    </xf>
    <xf numFmtId="169" fontId="25" fillId="2" borderId="18" xfId="2" applyNumberFormat="1" applyFont="1" applyFill="1" applyBorder="1" applyAlignment="1">
      <alignment horizontal="right"/>
    </xf>
    <xf numFmtId="3" fontId="22" fillId="0" borderId="0" xfId="2" applyNumberFormat="1" applyFont="1" applyAlignment="1">
      <alignment horizontal="right"/>
    </xf>
    <xf numFmtId="168" fontId="26" fillId="2" borderId="36" xfId="2" applyNumberFormat="1" applyFont="1" applyFill="1" applyBorder="1" applyAlignment="1">
      <alignment horizontal="right"/>
    </xf>
    <xf numFmtId="169" fontId="26" fillId="2" borderId="18" xfId="2" applyNumberFormat="1" applyFont="1" applyFill="1" applyBorder="1" applyAlignment="1">
      <alignment horizontal="right" vertical="top"/>
    </xf>
    <xf numFmtId="0" fontId="24" fillId="2" borderId="19" xfId="2" applyFont="1" applyFill="1" applyBorder="1" applyAlignment="1">
      <alignment horizontal="left" vertical="top" wrapText="1" indent="1"/>
    </xf>
    <xf numFmtId="169" fontId="26" fillId="2" borderId="20" xfId="2" applyNumberFormat="1" applyFont="1" applyFill="1" applyBorder="1" applyAlignment="1">
      <alignment horizontal="right" vertical="top"/>
    </xf>
    <xf numFmtId="176" fontId="26" fillId="2" borderId="38" xfId="2" applyNumberFormat="1" applyFont="1" applyFill="1" applyBorder="1" applyAlignment="1">
      <alignment horizontal="right" vertical="top"/>
    </xf>
    <xf numFmtId="169" fontId="26" fillId="2" borderId="23" xfId="2" applyNumberFormat="1" applyFont="1" applyFill="1" applyBorder="1" applyAlignment="1">
      <alignment horizontal="right" vertical="top"/>
    </xf>
    <xf numFmtId="172" fontId="26" fillId="2" borderId="20" xfId="2" applyNumberFormat="1" applyFont="1" applyFill="1" applyBorder="1" applyAlignment="1">
      <alignment horizontal="right"/>
    </xf>
    <xf numFmtId="0" fontId="26" fillId="2" borderId="16" xfId="2" applyFont="1" applyFill="1" applyBorder="1"/>
    <xf numFmtId="0" fontId="26" fillId="2" borderId="12" xfId="2" applyFont="1" applyFill="1" applyBorder="1" applyAlignment="1">
      <alignment horizontal="right"/>
    </xf>
    <xf numFmtId="0" fontId="26" fillId="2" borderId="33" xfId="2" applyFont="1" applyFill="1" applyBorder="1"/>
    <xf numFmtId="0" fontId="26" fillId="2" borderId="34" xfId="2" applyFont="1" applyFill="1" applyBorder="1"/>
    <xf numFmtId="0" fontId="26" fillId="2" borderId="35" xfId="2" applyFont="1" applyFill="1" applyBorder="1" applyAlignment="1">
      <alignment horizontal="right"/>
    </xf>
    <xf numFmtId="0" fontId="26" fillId="2" borderId="18" xfId="2" applyFont="1" applyFill="1" applyBorder="1"/>
    <xf numFmtId="0" fontId="26" fillId="2" borderId="17" xfId="2" applyFont="1" applyFill="1" applyBorder="1" applyAlignment="1">
      <alignment horizontal="right"/>
    </xf>
    <xf numFmtId="0" fontId="26" fillId="2" borderId="36" xfId="2" applyFont="1" applyFill="1" applyBorder="1"/>
    <xf numFmtId="0" fontId="26" fillId="2" borderId="0" xfId="2" applyFont="1" applyFill="1"/>
    <xf numFmtId="0" fontId="24" fillId="2" borderId="17" xfId="2" applyFont="1" applyFill="1" applyBorder="1" applyAlignment="1">
      <alignment horizontal="left" vertical="top" wrapText="1" indent="1"/>
    </xf>
    <xf numFmtId="176" fontId="26" fillId="2" borderId="17" xfId="2" applyNumberFormat="1" applyFont="1" applyFill="1" applyBorder="1" applyAlignment="1">
      <alignment horizontal="right"/>
    </xf>
    <xf numFmtId="176" fontId="26" fillId="2" borderId="36" xfId="2" applyNumberFormat="1" applyFont="1" applyFill="1" applyBorder="1" applyAlignment="1">
      <alignment horizontal="right"/>
    </xf>
    <xf numFmtId="169" fontId="26" fillId="2" borderId="0" xfId="2" applyNumberFormat="1" applyFont="1" applyFill="1" applyAlignment="1">
      <alignment horizontal="right"/>
    </xf>
    <xf numFmtId="171" fontId="26" fillId="2" borderId="37" xfId="2" applyNumberFormat="1" applyFont="1" applyFill="1" applyBorder="1" applyAlignment="1">
      <alignment horizontal="right"/>
    </xf>
    <xf numFmtId="167" fontId="22" fillId="0" borderId="0" xfId="4" applyFont="1"/>
    <xf numFmtId="167" fontId="22" fillId="0" borderId="0" xfId="2" applyNumberFormat="1" applyFont="1"/>
    <xf numFmtId="169" fontId="26" fillId="0" borderId="20" xfId="2" applyNumberFormat="1" applyFont="1" applyBorder="1" applyAlignment="1">
      <alignment horizontal="right"/>
    </xf>
    <xf numFmtId="176" fontId="26" fillId="2" borderId="19" xfId="2" applyNumberFormat="1" applyFont="1" applyFill="1" applyBorder="1" applyAlignment="1">
      <alignment horizontal="right"/>
    </xf>
    <xf numFmtId="176" fontId="26" fillId="2" borderId="38" xfId="2" applyNumberFormat="1" applyFont="1" applyFill="1" applyBorder="1" applyAlignment="1">
      <alignment horizontal="right"/>
    </xf>
    <xf numFmtId="169" fontId="26" fillId="2" borderId="23" xfId="2" applyNumberFormat="1" applyFont="1" applyFill="1" applyBorder="1" applyAlignment="1">
      <alignment horizontal="right"/>
    </xf>
    <xf numFmtId="0" fontId="23" fillId="2" borderId="17" xfId="2" applyFont="1" applyFill="1" applyBorder="1" applyAlignment="1">
      <alignment horizontal="left" vertical="top" wrapText="1"/>
    </xf>
    <xf numFmtId="169" fontId="25" fillId="2" borderId="12" xfId="2" applyNumberFormat="1" applyFont="1" applyFill="1" applyBorder="1" applyAlignment="1">
      <alignment vertical="top"/>
    </xf>
    <xf numFmtId="176" fontId="25" fillId="2" borderId="36" xfId="2" applyNumberFormat="1" applyFont="1" applyFill="1" applyBorder="1" applyAlignment="1">
      <alignment vertical="top"/>
    </xf>
    <xf numFmtId="169" fontId="25" fillId="2" borderId="0" xfId="2" applyNumberFormat="1" applyFont="1" applyFill="1" applyAlignment="1">
      <alignment vertical="top"/>
    </xf>
    <xf numFmtId="169" fontId="25" fillId="2" borderId="37" xfId="2" applyNumberFormat="1" applyFont="1" applyFill="1" applyBorder="1" applyAlignment="1">
      <alignment horizontal="right" vertical="top"/>
    </xf>
    <xf numFmtId="0" fontId="24" fillId="2" borderId="19" xfId="2" applyFont="1" applyFill="1" applyBorder="1" applyAlignment="1">
      <alignment horizontal="left" vertical="top" wrapText="1"/>
    </xf>
    <xf numFmtId="176" fontId="26" fillId="2" borderId="19" xfId="2" applyNumberFormat="1" applyFont="1" applyFill="1" applyBorder="1" applyAlignment="1">
      <alignment horizontal="right" vertical="top"/>
    </xf>
    <xf numFmtId="176" fontId="26" fillId="2" borderId="38" xfId="2" applyNumberFormat="1" applyFont="1" applyFill="1" applyBorder="1" applyAlignment="1">
      <alignment vertical="top"/>
    </xf>
    <xf numFmtId="169" fontId="26" fillId="2" borderId="23" xfId="2" applyNumberFormat="1" applyFont="1" applyFill="1" applyBorder="1" applyAlignment="1">
      <alignment vertical="top"/>
    </xf>
    <xf numFmtId="169" fontId="26" fillId="2" borderId="39" xfId="2" applyNumberFormat="1" applyFont="1" applyFill="1" applyBorder="1" applyAlignment="1">
      <alignment horizontal="right" vertical="top"/>
    </xf>
    <xf numFmtId="167" fontId="22" fillId="0" borderId="0" xfId="4" applyFont="1" applyFill="1" applyBorder="1"/>
    <xf numFmtId="0" fontId="24" fillId="2" borderId="18" xfId="2" applyFont="1" applyFill="1" applyBorder="1" applyAlignment="1">
      <alignment vertical="top" wrapText="1"/>
    </xf>
    <xf numFmtId="0" fontId="24" fillId="2" borderId="17" xfId="2" applyFont="1" applyFill="1" applyBorder="1" applyAlignment="1">
      <alignment horizontal="right" vertical="top"/>
    </xf>
    <xf numFmtId="175" fontId="26" fillId="2" borderId="18" xfId="2" applyNumberFormat="1" applyFont="1" applyFill="1" applyBorder="1" applyAlignment="1">
      <alignment horizontal="right" vertical="top"/>
    </xf>
    <xf numFmtId="175" fontId="26" fillId="2" borderId="17" xfId="2" applyNumberFormat="1" applyFont="1" applyFill="1" applyBorder="1" applyAlignment="1">
      <alignment horizontal="right" vertical="top"/>
    </xf>
    <xf numFmtId="175" fontId="26" fillId="2" borderId="36" xfId="2" applyNumberFormat="1" applyFont="1" applyFill="1" applyBorder="1" applyAlignment="1">
      <alignment horizontal="right" vertical="top"/>
    </xf>
    <xf numFmtId="175" fontId="26" fillId="2" borderId="0" xfId="2" applyNumberFormat="1" applyFont="1" applyFill="1" applyAlignment="1">
      <alignment horizontal="right" vertical="top"/>
    </xf>
    <xf numFmtId="175" fontId="28" fillId="2" borderId="37" xfId="2" applyNumberFormat="1" applyFont="1" applyFill="1" applyBorder="1" applyAlignment="1">
      <alignment horizontal="right" vertical="top"/>
    </xf>
    <xf numFmtId="167" fontId="22" fillId="0" borderId="0" xfId="4" applyFont="1" applyFill="1"/>
    <xf numFmtId="176" fontId="26" fillId="2" borderId="17" xfId="2" applyNumberFormat="1" applyFont="1" applyFill="1" applyBorder="1" applyAlignment="1">
      <alignment horizontal="right" vertical="top"/>
    </xf>
    <xf numFmtId="176" fontId="26" fillId="2" borderId="36" xfId="2" applyNumberFormat="1" applyFont="1" applyFill="1" applyBorder="1" applyAlignment="1">
      <alignment vertical="top"/>
    </xf>
    <xf numFmtId="169" fontId="26" fillId="2" borderId="0" xfId="2" applyNumberFormat="1" applyFont="1" applyFill="1" applyAlignment="1">
      <alignment vertical="top"/>
    </xf>
    <xf numFmtId="169" fontId="26" fillId="2" borderId="37" xfId="2" applyNumberFormat="1" applyFont="1" applyFill="1" applyBorder="1" applyAlignment="1">
      <alignment horizontal="right" vertical="top"/>
    </xf>
    <xf numFmtId="169" fontId="26" fillId="2" borderId="0" xfId="2" applyNumberFormat="1" applyFont="1" applyFill="1" applyAlignment="1">
      <alignment horizontal="right" vertical="top"/>
    </xf>
    <xf numFmtId="172" fontId="26" fillId="2" borderId="37" xfId="2" applyNumberFormat="1" applyFont="1" applyFill="1" applyBorder="1" applyAlignment="1">
      <alignment horizontal="right" vertical="top"/>
    </xf>
    <xf numFmtId="0" fontId="24" fillId="2" borderId="20" xfId="2" applyFont="1" applyFill="1" applyBorder="1" applyAlignment="1">
      <alignment vertical="top" wrapText="1"/>
    </xf>
    <xf numFmtId="176" fontId="30" fillId="2" borderId="33" xfId="2" applyNumberFormat="1" applyFont="1" applyFill="1" applyBorder="1" applyAlignment="1">
      <alignment horizontal="right" vertical="top"/>
    </xf>
    <xf numFmtId="169" fontId="30" fillId="2" borderId="34" xfId="2" applyNumberFormat="1" applyFont="1" applyFill="1" applyBorder="1" applyAlignment="1">
      <alignment horizontal="right" vertical="top"/>
    </xf>
    <xf numFmtId="0" fontId="28" fillId="2" borderId="35" xfId="2" applyFont="1" applyFill="1" applyBorder="1" applyAlignment="1">
      <alignment horizontal="right" vertical="top"/>
    </xf>
    <xf numFmtId="0" fontId="26" fillId="2" borderId="20" xfId="2" applyFont="1" applyFill="1" applyBorder="1"/>
    <xf numFmtId="0" fontId="26" fillId="2" borderId="19" xfId="2" applyFont="1" applyFill="1" applyBorder="1" applyAlignment="1">
      <alignment horizontal="right"/>
    </xf>
    <xf numFmtId="0" fontId="26" fillId="2" borderId="38" xfId="2" applyFont="1" applyFill="1" applyBorder="1"/>
    <xf numFmtId="0" fontId="26" fillId="2" borderId="23" xfId="2" applyFont="1" applyFill="1" applyBorder="1"/>
    <xf numFmtId="0" fontId="23" fillId="2" borderId="0" xfId="2" applyFont="1" applyFill="1" applyAlignment="1">
      <alignment horizontal="left" vertical="top" wrapText="1"/>
    </xf>
    <xf numFmtId="169" fontId="25" fillId="2" borderId="18" xfId="2" applyNumberFormat="1" applyFont="1" applyFill="1" applyBorder="1" applyAlignment="1">
      <alignment horizontal="right" vertical="top"/>
    </xf>
    <xf numFmtId="169" fontId="25" fillId="2" borderId="17" xfId="2" applyNumberFormat="1" applyFont="1" applyFill="1" applyBorder="1" applyAlignment="1">
      <alignment horizontal="right" vertical="top"/>
    </xf>
    <xf numFmtId="175" fontId="25" fillId="2" borderId="36" xfId="2" applyNumberFormat="1" applyFont="1" applyFill="1" applyBorder="1" applyAlignment="1">
      <alignment horizontal="right" vertical="top"/>
    </xf>
    <xf numFmtId="169" fontId="25" fillId="2" borderId="0" xfId="2" applyNumberFormat="1" applyFont="1" applyFill="1" applyAlignment="1">
      <alignment horizontal="right" vertical="top"/>
    </xf>
    <xf numFmtId="0" fontId="23" fillId="2" borderId="0" xfId="2" applyFont="1" applyFill="1" applyAlignment="1">
      <alignment horizontal="left" vertical="top"/>
    </xf>
    <xf numFmtId="172" fontId="26" fillId="2" borderId="37" xfId="2" applyNumberFormat="1" applyFont="1" applyFill="1" applyBorder="1" applyAlignment="1">
      <alignment horizontal="right"/>
    </xf>
    <xf numFmtId="0" fontId="24" fillId="2" borderId="0" xfId="2" applyFont="1" applyFill="1" applyAlignment="1">
      <alignment horizontal="left" vertical="top"/>
    </xf>
    <xf numFmtId="169" fontId="26" fillId="2" borderId="17" xfId="2" applyNumberFormat="1" applyFont="1" applyFill="1" applyBorder="1" applyAlignment="1">
      <alignment horizontal="right"/>
    </xf>
    <xf numFmtId="175" fontId="26" fillId="2" borderId="36" xfId="2" applyNumberFormat="1" applyFont="1" applyFill="1" applyBorder="1" applyAlignment="1">
      <alignment horizontal="right"/>
    </xf>
    <xf numFmtId="172" fontId="22" fillId="0" borderId="0" xfId="2" applyNumberFormat="1" applyFont="1"/>
    <xf numFmtId="169" fontId="26" fillId="2" borderId="36" xfId="2" applyNumberFormat="1" applyFont="1" applyFill="1" applyBorder="1" applyAlignment="1">
      <alignment horizontal="right"/>
    </xf>
    <xf numFmtId="175" fontId="28" fillId="2" borderId="37" xfId="2" applyNumberFormat="1" applyFont="1" applyFill="1" applyBorder="1" applyAlignment="1">
      <alignment horizontal="right"/>
    </xf>
    <xf numFmtId="0" fontId="24" fillId="2" borderId="0" xfId="2" applyFont="1" applyFill="1" applyAlignment="1">
      <alignment horizontal="left" vertical="top" wrapText="1"/>
    </xf>
    <xf numFmtId="39" fontId="26" fillId="2" borderId="18" xfId="2" applyNumberFormat="1" applyFont="1" applyFill="1" applyBorder="1" applyAlignment="1">
      <alignment horizontal="right"/>
    </xf>
    <xf numFmtId="39" fontId="26" fillId="2" borderId="17" xfId="2" applyNumberFormat="1" applyFont="1" applyFill="1" applyBorder="1" applyAlignment="1">
      <alignment horizontal="right"/>
    </xf>
    <xf numFmtId="39" fontId="26" fillId="2" borderId="0" xfId="2" applyNumberFormat="1" applyFont="1" applyFill="1" applyAlignment="1">
      <alignment horizontal="right"/>
    </xf>
    <xf numFmtId="172" fontId="26" fillId="2" borderId="37" xfId="2" quotePrefix="1" applyNumberFormat="1" applyFont="1" applyFill="1" applyBorder="1" applyAlignment="1">
      <alignment horizontal="right"/>
    </xf>
    <xf numFmtId="175" fontId="26" fillId="2" borderId="36" xfId="2" applyNumberFormat="1" applyFont="1" applyFill="1" applyBorder="1"/>
    <xf numFmtId="169" fontId="26" fillId="2" borderId="0" xfId="2" applyNumberFormat="1" applyFont="1" applyFill="1"/>
    <xf numFmtId="3" fontId="26" fillId="2" borderId="17" xfId="2" applyNumberFormat="1" applyFont="1" applyFill="1" applyBorder="1" applyAlignment="1">
      <alignment horizontal="right"/>
    </xf>
    <xf numFmtId="3" fontId="26" fillId="2" borderId="0" xfId="2" applyNumberFormat="1" applyFont="1" applyFill="1"/>
    <xf numFmtId="3" fontId="26" fillId="2" borderId="18" xfId="2" applyNumberFormat="1" applyFont="1" applyFill="1" applyBorder="1"/>
    <xf numFmtId="175" fontId="26" fillId="2" borderId="37" xfId="2" applyNumberFormat="1" applyFont="1" applyFill="1" applyBorder="1" applyAlignment="1">
      <alignment horizontal="right"/>
    </xf>
    <xf numFmtId="169" fontId="26" fillId="2" borderId="37" xfId="2" quotePrefix="1" applyNumberFormat="1" applyFont="1" applyFill="1" applyBorder="1" applyAlignment="1">
      <alignment horizontal="right"/>
    </xf>
    <xf numFmtId="0" fontId="24" fillId="2" borderId="18" xfId="2" applyFont="1" applyFill="1" applyBorder="1" applyAlignment="1">
      <alignment horizontal="center" vertical="top" wrapText="1"/>
    </xf>
    <xf numFmtId="0" fontId="24" fillId="2" borderId="20" xfId="2" applyFont="1" applyFill="1" applyBorder="1" applyAlignment="1">
      <alignment horizontal="center" vertical="top" wrapText="1"/>
    </xf>
    <xf numFmtId="0" fontId="24" fillId="2" borderId="23" xfId="2" applyFont="1" applyFill="1" applyBorder="1" applyAlignment="1">
      <alignment horizontal="left" vertical="top"/>
    </xf>
    <xf numFmtId="169" fontId="26" fillId="2" borderId="19" xfId="2" applyNumberFormat="1" applyFont="1" applyFill="1" applyBorder="1" applyAlignment="1">
      <alignment horizontal="right"/>
    </xf>
    <xf numFmtId="169" fontId="26" fillId="2" borderId="38" xfId="2" applyNumberFormat="1" applyFont="1" applyFill="1" applyBorder="1" applyAlignment="1">
      <alignment horizontal="right"/>
    </xf>
    <xf numFmtId="0" fontId="23" fillId="2" borderId="11" xfId="2" applyFont="1" applyFill="1" applyBorder="1" applyAlignment="1">
      <alignment vertical="top"/>
    </xf>
    <xf numFmtId="0" fontId="23" fillId="2" borderId="13" xfId="2" applyFont="1" applyFill="1" applyBorder="1" applyAlignment="1">
      <alignment horizontal="left" vertical="top" wrapText="1"/>
    </xf>
    <xf numFmtId="4" fontId="25" fillId="2" borderId="11" xfId="2" applyNumberFormat="1" applyFont="1" applyFill="1" applyBorder="1" applyAlignment="1">
      <alignment horizontal="right" vertical="top"/>
    </xf>
    <xf numFmtId="4" fontId="25" fillId="2" borderId="13" xfId="2" applyNumberFormat="1" applyFont="1" applyFill="1" applyBorder="1" applyAlignment="1">
      <alignment horizontal="right" vertical="top"/>
    </xf>
    <xf numFmtId="39" fontId="25" fillId="2" borderId="15" xfId="2" applyNumberFormat="1" applyFont="1" applyFill="1" applyBorder="1" applyAlignment="1">
      <alignment horizontal="right" vertical="top"/>
    </xf>
    <xf numFmtId="39" fontId="25" fillId="2" borderId="14" xfId="2" applyNumberFormat="1" applyFont="1" applyFill="1" applyBorder="1" applyAlignment="1">
      <alignment horizontal="right" vertical="top"/>
    </xf>
    <xf numFmtId="172" fontId="31" fillId="2" borderId="32" xfId="2" applyNumberFormat="1" applyFont="1" applyFill="1" applyBorder="1" applyAlignment="1">
      <alignment horizontal="right" vertical="top"/>
    </xf>
    <xf numFmtId="4" fontId="25" fillId="2" borderId="18" xfId="2" applyNumberFormat="1" applyFont="1" applyFill="1" applyBorder="1" applyAlignment="1">
      <alignment horizontal="right" vertical="top"/>
    </xf>
    <xf numFmtId="4" fontId="25" fillId="2" borderId="17" xfId="2" applyNumberFormat="1" applyFont="1" applyFill="1" applyBorder="1" applyAlignment="1">
      <alignment horizontal="right" vertical="top"/>
    </xf>
    <xf numFmtId="4" fontId="25" fillId="2" borderId="36" xfId="2" applyNumberFormat="1" applyFont="1" applyFill="1" applyBorder="1" applyAlignment="1">
      <alignment horizontal="right" vertical="top"/>
    </xf>
    <xf numFmtId="39" fontId="25" fillId="2" borderId="0" xfId="2" applyNumberFormat="1" applyFont="1" applyFill="1" applyAlignment="1">
      <alignment horizontal="right" vertical="top"/>
    </xf>
    <xf numFmtId="0" fontId="24" fillId="2" borderId="0" xfId="2" applyFont="1" applyFill="1" applyAlignment="1">
      <alignment vertical="top" wrapText="1"/>
    </xf>
    <xf numFmtId="169" fontId="26" fillId="2" borderId="17" xfId="2" applyNumberFormat="1" applyFont="1" applyFill="1" applyBorder="1" applyAlignment="1">
      <alignment horizontal="right" vertical="top"/>
    </xf>
    <xf numFmtId="177" fontId="26" fillId="2" borderId="36" xfId="2" applyNumberFormat="1" applyFont="1" applyFill="1" applyBorder="1" applyAlignment="1">
      <alignment horizontal="right" vertical="top"/>
    </xf>
    <xf numFmtId="0" fontId="24" fillId="2" borderId="23" xfId="2" applyFont="1" applyFill="1" applyBorder="1" applyAlignment="1">
      <alignment horizontal="left" vertical="top" wrapText="1"/>
    </xf>
    <xf numFmtId="169" fontId="26" fillId="2" borderId="19" xfId="2" applyNumberFormat="1" applyFont="1" applyFill="1" applyBorder="1" applyAlignment="1">
      <alignment horizontal="right" vertical="top"/>
    </xf>
    <xf numFmtId="177" fontId="26" fillId="2" borderId="38" xfId="2" applyNumberFormat="1" applyFont="1" applyFill="1" applyBorder="1" applyAlignment="1">
      <alignment horizontal="right" vertical="top"/>
    </xf>
    <xf numFmtId="169" fontId="25" fillId="2" borderId="36" xfId="2" applyNumberFormat="1" applyFont="1" applyFill="1" applyBorder="1" applyAlignment="1">
      <alignment horizontal="right" vertical="top"/>
    </xf>
    <xf numFmtId="169" fontId="26" fillId="2" borderId="36" xfId="2" applyNumberFormat="1" applyFont="1" applyFill="1" applyBorder="1" applyAlignment="1">
      <alignment horizontal="right" vertical="top"/>
    </xf>
    <xf numFmtId="0" fontId="24" fillId="2" borderId="19" xfId="2" applyFont="1" applyFill="1" applyBorder="1" applyAlignment="1">
      <alignment horizontal="left" vertical="top"/>
    </xf>
    <xf numFmtId="169" fontId="26" fillId="2" borderId="38" xfId="2" applyNumberFormat="1" applyFont="1" applyFill="1" applyBorder="1" applyAlignment="1">
      <alignment horizontal="right" vertical="top"/>
    </xf>
    <xf numFmtId="169" fontId="26" fillId="2" borderId="40" xfId="2" applyNumberFormat="1" applyFont="1" applyFill="1" applyBorder="1" applyAlignment="1">
      <alignment horizontal="right" vertical="top"/>
    </xf>
    <xf numFmtId="37" fontId="25" fillId="2" borderId="16" xfId="2" applyNumberFormat="1" applyFont="1" applyFill="1" applyBorder="1" applyAlignment="1">
      <alignment horizontal="right" vertical="top"/>
    </xf>
    <xf numFmtId="37" fontId="25" fillId="2" borderId="12" xfId="2" applyNumberFormat="1" applyFont="1" applyFill="1" applyBorder="1" applyAlignment="1">
      <alignment horizontal="right" vertical="top"/>
    </xf>
    <xf numFmtId="174" fontId="25" fillId="2" borderId="33" xfId="2" applyNumberFormat="1" applyFont="1" applyFill="1" applyBorder="1" applyAlignment="1">
      <alignment horizontal="right" vertical="top"/>
    </xf>
    <xf numFmtId="0" fontId="23" fillId="2" borderId="17" xfId="2" applyFont="1" applyFill="1" applyBorder="1" applyAlignment="1">
      <alignment horizontal="left" vertical="top" indent="2"/>
    </xf>
    <xf numFmtId="174" fontId="25" fillId="2" borderId="36" xfId="2" applyNumberFormat="1" applyFont="1" applyFill="1" applyBorder="1" applyAlignment="1">
      <alignment horizontal="right" vertical="top"/>
    </xf>
    <xf numFmtId="170" fontId="25" fillId="2" borderId="0" xfId="2" applyNumberFormat="1" applyFont="1" applyFill="1" applyAlignment="1">
      <alignment vertical="top"/>
    </xf>
    <xf numFmtId="37" fontId="26" fillId="2" borderId="18" xfId="2" applyNumberFormat="1" applyFont="1" applyFill="1" applyBorder="1" applyAlignment="1">
      <alignment horizontal="right" vertical="top"/>
    </xf>
    <xf numFmtId="37" fontId="26" fillId="2" borderId="17" xfId="2" applyNumberFormat="1" applyFont="1" applyFill="1" applyBorder="1" applyAlignment="1">
      <alignment horizontal="right" vertical="top"/>
    </xf>
    <xf numFmtId="170" fontId="26" fillId="2" borderId="36" xfId="2" applyNumberFormat="1" applyFont="1" applyFill="1" applyBorder="1" applyAlignment="1">
      <alignment horizontal="right" vertical="top"/>
    </xf>
    <xf numFmtId="174" fontId="26" fillId="2" borderId="36" xfId="2" applyNumberFormat="1" applyFont="1" applyFill="1" applyBorder="1" applyAlignment="1">
      <alignment horizontal="right" vertical="top"/>
    </xf>
    <xf numFmtId="3" fontId="28" fillId="2" borderId="36" xfId="2" applyNumberFormat="1" applyFont="1" applyFill="1" applyBorder="1" applyAlignment="1">
      <alignment horizontal="right" vertical="top"/>
    </xf>
    <xf numFmtId="37" fontId="28" fillId="2" borderId="0" xfId="2" applyNumberFormat="1" applyFont="1" applyFill="1" applyAlignment="1">
      <alignment horizontal="right" vertical="top"/>
    </xf>
    <xf numFmtId="169" fontId="28" fillId="2" borderId="37" xfId="2" applyNumberFormat="1" applyFont="1" applyFill="1" applyBorder="1" applyAlignment="1">
      <alignment horizontal="right" vertical="top"/>
    </xf>
    <xf numFmtId="0" fontId="24" fillId="2" borderId="17" xfId="2" applyFont="1" applyFill="1" applyBorder="1" applyAlignment="1">
      <alignment vertical="top"/>
    </xf>
    <xf numFmtId="170" fontId="28" fillId="2" borderId="18" xfId="2" applyNumberFormat="1" applyFont="1" applyFill="1" applyBorder="1" applyAlignment="1">
      <alignment horizontal="right" vertical="top"/>
    </xf>
    <xf numFmtId="170" fontId="28" fillId="2" borderId="17" xfId="2" applyNumberFormat="1" applyFont="1" applyFill="1" applyBorder="1" applyAlignment="1">
      <alignment horizontal="right" vertical="top"/>
    </xf>
    <xf numFmtId="0" fontId="26" fillId="2" borderId="36" xfId="2" applyFont="1" applyFill="1" applyBorder="1" applyAlignment="1">
      <alignment horizontal="right" vertical="top"/>
    </xf>
    <xf numFmtId="37" fontId="26" fillId="2" borderId="0" xfId="2" applyNumberFormat="1" applyFont="1" applyFill="1" applyAlignment="1">
      <alignment horizontal="right" vertical="top"/>
    </xf>
    <xf numFmtId="170" fontId="25" fillId="2" borderId="36" xfId="2" applyNumberFormat="1" applyFont="1" applyFill="1" applyBorder="1" applyAlignment="1">
      <alignment horizontal="right" vertical="top"/>
    </xf>
    <xf numFmtId="170" fontId="28" fillId="2" borderId="36" xfId="2" applyNumberFormat="1" applyFont="1" applyFill="1" applyBorder="1" applyAlignment="1">
      <alignment horizontal="right" vertical="top"/>
    </xf>
    <xf numFmtId="0" fontId="26" fillId="2" borderId="18" xfId="2" applyFont="1" applyFill="1" applyBorder="1" applyAlignment="1">
      <alignment vertical="top"/>
    </xf>
    <xf numFmtId="0" fontId="26" fillId="2" borderId="17" xfId="2" applyFont="1" applyFill="1" applyBorder="1" applyAlignment="1">
      <alignment horizontal="right" vertical="top"/>
    </xf>
    <xf numFmtId="0" fontId="26" fillId="2" borderId="37" xfId="2" applyFont="1" applyFill="1" applyBorder="1" applyAlignment="1">
      <alignment horizontal="right" vertical="top"/>
    </xf>
    <xf numFmtId="37" fontId="25" fillId="2" borderId="18" xfId="2" applyNumberFormat="1" applyFont="1" applyFill="1" applyBorder="1" applyAlignment="1">
      <alignment vertical="top"/>
    </xf>
    <xf numFmtId="0" fontId="23" fillId="2" borderId="17" xfId="2" applyFont="1" applyFill="1" applyBorder="1" applyAlignment="1">
      <alignment horizontal="left" vertical="top" indent="4"/>
    </xf>
    <xf numFmtId="0" fontId="25" fillId="2" borderId="36" xfId="2" applyFont="1" applyFill="1" applyBorder="1" applyAlignment="1">
      <alignment vertical="top"/>
    </xf>
    <xf numFmtId="37" fontId="25" fillId="2" borderId="0" xfId="2" applyNumberFormat="1" applyFont="1" applyFill="1" applyAlignment="1">
      <alignment vertical="top"/>
    </xf>
    <xf numFmtId="3" fontId="26" fillId="2" borderId="36" xfId="2" applyNumberFormat="1" applyFont="1" applyFill="1" applyBorder="1" applyAlignment="1">
      <alignment vertical="top"/>
    </xf>
    <xf numFmtId="37" fontId="26" fillId="2" borderId="0" xfId="2" applyNumberFormat="1" applyFont="1" applyFill="1" applyAlignment="1">
      <alignment vertical="top"/>
    </xf>
    <xf numFmtId="0" fontId="23" fillId="2" borderId="19" xfId="2" applyFont="1" applyFill="1" applyBorder="1" applyAlignment="1">
      <alignment horizontal="left" vertical="top" indent="4"/>
    </xf>
    <xf numFmtId="0" fontId="23" fillId="0" borderId="18" xfId="2" applyFont="1" applyBorder="1" applyAlignment="1">
      <alignment vertical="top" wrapText="1"/>
    </xf>
    <xf numFmtId="37" fontId="25" fillId="0" borderId="18" xfId="2" applyNumberFormat="1" applyFont="1" applyBorder="1" applyAlignment="1">
      <alignment vertical="top"/>
    </xf>
    <xf numFmtId="37" fontId="25" fillId="0" borderId="17" xfId="2" applyNumberFormat="1" applyFont="1" applyBorder="1" applyAlignment="1">
      <alignment horizontal="right" vertical="top"/>
    </xf>
    <xf numFmtId="37" fontId="25" fillId="0" borderId="36" xfId="2" applyNumberFormat="1" applyFont="1" applyBorder="1" applyAlignment="1">
      <alignment vertical="top"/>
    </xf>
    <xf numFmtId="37" fontId="25" fillId="0" borderId="0" xfId="2" applyNumberFormat="1" applyFont="1" applyAlignment="1">
      <alignment vertical="top"/>
    </xf>
    <xf numFmtId="169" fontId="25" fillId="0" borderId="37" xfId="2" applyNumberFormat="1" applyFont="1" applyBorder="1" applyAlignment="1">
      <alignment horizontal="right" vertical="top"/>
    </xf>
    <xf numFmtId="0" fontId="23" fillId="0" borderId="0" xfId="2" applyFont="1" applyAlignment="1">
      <alignment horizontal="left" vertical="top" indent="4"/>
    </xf>
    <xf numFmtId="0" fontId="23" fillId="0" borderId="0" xfId="2" applyFont="1" applyAlignment="1">
      <alignment horizontal="left" vertical="top" indent="5"/>
    </xf>
    <xf numFmtId="3" fontId="32" fillId="0" borderId="0" xfId="2" applyNumberFormat="1" applyFont="1"/>
    <xf numFmtId="0" fontId="24" fillId="0" borderId="0" xfId="2" applyFont="1" applyAlignment="1">
      <alignment horizontal="left" vertical="top" indent="6"/>
    </xf>
    <xf numFmtId="37" fontId="26" fillId="0" borderId="18" xfId="2" applyNumberFormat="1" applyFont="1" applyBorder="1" applyAlignment="1">
      <alignment vertical="top"/>
    </xf>
    <xf numFmtId="37" fontId="26" fillId="0" borderId="17" xfId="2" applyNumberFormat="1" applyFont="1" applyBorder="1" applyAlignment="1">
      <alignment horizontal="right" vertical="top"/>
    </xf>
    <xf numFmtId="37" fontId="26" fillId="0" borderId="36" xfId="2" applyNumberFormat="1" applyFont="1" applyBorder="1" applyAlignment="1">
      <alignment vertical="top"/>
    </xf>
    <xf numFmtId="37" fontId="26" fillId="0" borderId="0" xfId="2" applyNumberFormat="1" applyFont="1" applyAlignment="1">
      <alignment vertical="top"/>
    </xf>
    <xf numFmtId="169" fontId="26" fillId="0" borderId="37" xfId="2" applyNumberFormat="1" applyFont="1" applyBorder="1" applyAlignment="1">
      <alignment horizontal="right" vertical="top"/>
    </xf>
    <xf numFmtId="0" fontId="32" fillId="0" borderId="0" xfId="2" applyFont="1"/>
    <xf numFmtId="0" fontId="24" fillId="0" borderId="23" xfId="2" applyFont="1" applyBorder="1" applyAlignment="1">
      <alignment horizontal="left" vertical="top" indent="6"/>
    </xf>
    <xf numFmtId="37" fontId="26" fillId="0" borderId="20" xfId="2" applyNumberFormat="1" applyFont="1" applyBorder="1" applyAlignment="1">
      <alignment vertical="top"/>
    </xf>
    <xf numFmtId="37" fontId="26" fillId="0" borderId="19" xfId="2" applyNumberFormat="1" applyFont="1" applyBorder="1" applyAlignment="1">
      <alignment horizontal="right" vertical="top"/>
    </xf>
    <xf numFmtId="37" fontId="26" fillId="0" borderId="38" xfId="2" applyNumberFormat="1" applyFont="1" applyBorder="1" applyAlignment="1">
      <alignment vertical="top"/>
    </xf>
    <xf numFmtId="37" fontId="26" fillId="0" borderId="23" xfId="2" applyNumberFormat="1" applyFont="1" applyBorder="1" applyAlignment="1">
      <alignment vertical="top"/>
    </xf>
    <xf numFmtId="169" fontId="26" fillId="0" borderId="39" xfId="2" applyNumberFormat="1" applyFont="1" applyBorder="1" applyAlignment="1">
      <alignment horizontal="right" vertical="top"/>
    </xf>
    <xf numFmtId="0" fontId="23" fillId="0" borderId="16" xfId="2" applyFont="1" applyBorder="1" applyAlignment="1">
      <alignment vertical="top" wrapText="1"/>
    </xf>
    <xf numFmtId="3" fontId="20" fillId="0" borderId="0" xfId="2" applyNumberFormat="1" applyFont="1" applyAlignment="1">
      <alignment horizontal="left"/>
    </xf>
    <xf numFmtId="0" fontId="26" fillId="0" borderId="17" xfId="2" applyFont="1" applyBorder="1" applyAlignment="1">
      <alignment horizontal="left" vertical="top" shrinkToFit="1"/>
    </xf>
    <xf numFmtId="0" fontId="26" fillId="0" borderId="19" xfId="2" applyFont="1" applyBorder="1" applyAlignment="1">
      <alignment horizontal="left" vertical="top" shrinkToFit="1"/>
    </xf>
    <xf numFmtId="0" fontId="23" fillId="2" borderId="13" xfId="2" applyFont="1" applyFill="1" applyBorder="1" applyAlignment="1">
      <alignment horizontal="left" vertical="top"/>
    </xf>
    <xf numFmtId="0" fontId="26" fillId="2" borderId="11" xfId="2" applyFont="1" applyFill="1" applyBorder="1"/>
    <xf numFmtId="0" fontId="26" fillId="2" borderId="13" xfId="2" applyFont="1" applyFill="1" applyBorder="1" applyAlignment="1">
      <alignment horizontal="right"/>
    </xf>
    <xf numFmtId="0" fontId="26" fillId="2" borderId="15" xfId="2" applyFont="1" applyFill="1" applyBorder="1"/>
    <xf numFmtId="0" fontId="26" fillId="2" borderId="14" xfId="2" applyFont="1" applyFill="1" applyBorder="1"/>
    <xf numFmtId="0" fontId="26" fillId="2" borderId="32" xfId="2" applyFont="1" applyFill="1" applyBorder="1" applyAlignment="1">
      <alignment horizontal="right"/>
    </xf>
    <xf numFmtId="175" fontId="25" fillId="2" borderId="36" xfId="2" applyNumberFormat="1" applyFont="1" applyFill="1" applyBorder="1" applyAlignment="1">
      <alignment vertical="top"/>
    </xf>
    <xf numFmtId="175" fontId="25" fillId="2" borderId="0" xfId="2" applyNumberFormat="1" applyFont="1" applyFill="1" applyAlignment="1">
      <alignment vertical="top"/>
    </xf>
    <xf numFmtId="0" fontId="23" fillId="2" borderId="19" xfId="2" applyFont="1" applyFill="1" applyBorder="1" applyAlignment="1">
      <alignment horizontal="left" vertical="top"/>
    </xf>
    <xf numFmtId="175" fontId="26" fillId="2" borderId="20" xfId="2" applyNumberFormat="1" applyFont="1" applyFill="1" applyBorder="1"/>
    <xf numFmtId="175" fontId="26" fillId="2" borderId="19" xfId="2" applyNumberFormat="1" applyFont="1" applyFill="1" applyBorder="1" applyAlignment="1">
      <alignment horizontal="right"/>
    </xf>
    <xf numFmtId="175" fontId="26" fillId="2" borderId="38" xfId="2" applyNumberFormat="1" applyFont="1" applyFill="1" applyBorder="1"/>
    <xf numFmtId="175" fontId="26" fillId="2" borderId="23" xfId="2" applyNumberFormat="1" applyFont="1" applyFill="1" applyBorder="1"/>
    <xf numFmtId="172" fontId="26" fillId="2" borderId="39" xfId="2" applyNumberFormat="1" applyFont="1" applyFill="1" applyBorder="1" applyAlignment="1">
      <alignment horizontal="right"/>
    </xf>
    <xf numFmtId="0" fontId="23" fillId="2" borderId="34" xfId="2" applyFont="1" applyFill="1" applyBorder="1" applyAlignment="1">
      <alignment horizontal="left" vertical="top"/>
    </xf>
    <xf numFmtId="172" fontId="26" fillId="2" borderId="35" xfId="2" applyNumberFormat="1" applyFont="1" applyFill="1" applyBorder="1" applyAlignment="1">
      <alignment horizontal="right"/>
    </xf>
    <xf numFmtId="175" fontId="28" fillId="2" borderId="18" xfId="2" applyNumberFormat="1" applyFont="1" applyFill="1" applyBorder="1" applyAlignment="1">
      <alignment horizontal="right"/>
    </xf>
    <xf numFmtId="175" fontId="28" fillId="2" borderId="17" xfId="2" applyNumberFormat="1" applyFont="1" applyFill="1" applyBorder="1" applyAlignment="1">
      <alignment horizontal="right"/>
    </xf>
    <xf numFmtId="175" fontId="28" fillId="2" borderId="36" xfId="2" applyNumberFormat="1" applyFont="1" applyFill="1" applyBorder="1" applyAlignment="1">
      <alignment horizontal="right"/>
    </xf>
    <xf numFmtId="175" fontId="28" fillId="2" borderId="0" xfId="2" applyNumberFormat="1" applyFont="1" applyFill="1" applyAlignment="1">
      <alignment horizontal="right"/>
    </xf>
    <xf numFmtId="172" fontId="28" fillId="2" borderId="37" xfId="2" applyNumberFormat="1" applyFont="1" applyFill="1" applyBorder="1" applyAlignment="1">
      <alignment horizontal="right"/>
    </xf>
    <xf numFmtId="175" fontId="26" fillId="2" borderId="18" xfId="2" applyNumberFormat="1" applyFont="1" applyFill="1" applyBorder="1" applyAlignment="1">
      <alignment horizontal="right"/>
    </xf>
    <xf numFmtId="175" fontId="26" fillId="2" borderId="17" xfId="2" applyNumberFormat="1" applyFont="1" applyFill="1" applyBorder="1" applyAlignment="1">
      <alignment horizontal="right"/>
    </xf>
    <xf numFmtId="175" fontId="26" fillId="2" borderId="0" xfId="2" applyNumberFormat="1" applyFont="1" applyFill="1" applyAlignment="1">
      <alignment horizontal="right"/>
    </xf>
    <xf numFmtId="0" fontId="26" fillId="2" borderId="16" xfId="2" applyFont="1" applyFill="1" applyBorder="1" applyAlignment="1">
      <alignment horizontal="right"/>
    </xf>
    <xf numFmtId="0" fontId="26" fillId="2" borderId="33" xfId="2" applyFont="1" applyFill="1" applyBorder="1" applyAlignment="1">
      <alignment horizontal="right"/>
    </xf>
    <xf numFmtId="0" fontId="26" fillId="2" borderId="34" xfId="2" applyFont="1" applyFill="1" applyBorder="1" applyAlignment="1">
      <alignment horizontal="right"/>
    </xf>
    <xf numFmtId="169" fontId="28" fillId="2" borderId="20" xfId="2" applyNumberFormat="1" applyFont="1" applyFill="1" applyBorder="1" applyAlignment="1">
      <alignment horizontal="right"/>
    </xf>
    <xf numFmtId="169" fontId="28" fillId="2" borderId="19" xfId="2" applyNumberFormat="1" applyFont="1" applyFill="1" applyBorder="1" applyAlignment="1">
      <alignment horizontal="right"/>
    </xf>
    <xf numFmtId="169" fontId="28" fillId="2" borderId="38" xfId="2" applyNumberFormat="1" applyFont="1" applyFill="1" applyBorder="1" applyAlignment="1">
      <alignment horizontal="right"/>
    </xf>
    <xf numFmtId="169" fontId="28" fillId="2" borderId="23" xfId="2" applyNumberFormat="1" applyFont="1" applyFill="1" applyBorder="1" applyAlignment="1">
      <alignment horizontal="right"/>
    </xf>
    <xf numFmtId="169" fontId="28" fillId="2" borderId="39" xfId="2" applyNumberFormat="1" applyFont="1" applyFill="1" applyBorder="1" applyAlignment="1">
      <alignment horizontal="right"/>
    </xf>
    <xf numFmtId="171" fontId="26" fillId="2" borderId="36" xfId="2" applyNumberFormat="1" applyFont="1" applyFill="1" applyBorder="1" applyAlignment="1">
      <alignment horizontal="right" vertical="top"/>
    </xf>
    <xf numFmtId="171" fontId="26" fillId="2" borderId="38" xfId="2" applyNumberFormat="1" applyFont="1" applyFill="1" applyBorder="1" applyAlignment="1">
      <alignment horizontal="right" vertical="top"/>
    </xf>
    <xf numFmtId="0" fontId="23" fillId="2" borderId="12" xfId="2" applyFont="1" applyFill="1" applyBorder="1"/>
    <xf numFmtId="0" fontId="23" fillId="2" borderId="14" xfId="2" applyFont="1" applyFill="1" applyBorder="1" applyAlignment="1">
      <alignment horizontal="left" vertical="top"/>
    </xf>
    <xf numFmtId="0" fontId="23" fillId="2" borderId="16" xfId="2" applyFont="1" applyFill="1" applyBorder="1" applyAlignment="1">
      <alignment vertical="top"/>
    </xf>
    <xf numFmtId="3" fontId="25" fillId="2" borderId="36" xfId="2" applyNumberFormat="1" applyFont="1" applyFill="1" applyBorder="1" applyAlignment="1">
      <alignment vertical="top"/>
    </xf>
    <xf numFmtId="0" fontId="23" fillId="2" borderId="20" xfId="2" applyFont="1" applyFill="1" applyBorder="1"/>
    <xf numFmtId="0" fontId="24" fillId="2" borderId="23" xfId="2" applyFont="1" applyFill="1" applyBorder="1" applyAlignment="1">
      <alignment horizontal="right"/>
    </xf>
    <xf numFmtId="0" fontId="23" fillId="2" borderId="0" xfId="2" applyFont="1" applyFill="1"/>
    <xf numFmtId="0" fontId="24" fillId="2" borderId="0" xfId="2" applyFont="1" applyFill="1"/>
    <xf numFmtId="0" fontId="24" fillId="2" borderId="0" xfId="2" applyFont="1" applyFill="1" applyAlignment="1">
      <alignment horizontal="right"/>
    </xf>
    <xf numFmtId="0" fontId="24" fillId="0" borderId="0" xfId="2" applyFont="1" applyAlignment="1">
      <alignment horizontal="justify" wrapText="1"/>
    </xf>
    <xf numFmtId="0" fontId="33" fillId="2" borderId="0" xfId="2" applyFont="1" applyFill="1" applyAlignment="1">
      <alignment vertical="top"/>
    </xf>
    <xf numFmtId="0" fontId="33" fillId="2" borderId="0" xfId="2" applyFont="1" applyFill="1" applyAlignment="1">
      <alignment horizontal="right" vertical="top"/>
    </xf>
    <xf numFmtId="0" fontId="24" fillId="0" borderId="0" xfId="2" applyFont="1"/>
    <xf numFmtId="0" fontId="34" fillId="2" borderId="0" xfId="2" applyFont="1" applyFill="1" applyAlignment="1">
      <alignment vertical="top"/>
    </xf>
    <xf numFmtId="22" fontId="22" fillId="0" borderId="0" xfId="2" applyNumberFormat="1" applyFont="1"/>
    <xf numFmtId="0" fontId="24" fillId="0" borderId="0" xfId="2" applyFont="1" applyAlignment="1">
      <alignment horizontal="right"/>
    </xf>
    <xf numFmtId="39" fontId="26" fillId="2" borderId="18" xfId="2" applyNumberFormat="1" applyFont="1" applyFill="1" applyBorder="1" applyAlignment="1">
      <alignment horizontal="right" vertical="top"/>
    </xf>
    <xf numFmtId="39" fontId="26" fillId="2" borderId="17" xfId="2" applyNumberFormat="1" applyFont="1" applyFill="1" applyBorder="1" applyAlignment="1">
      <alignment horizontal="right" vertical="top"/>
    </xf>
    <xf numFmtId="39" fontId="26" fillId="2" borderId="36" xfId="2" applyNumberFormat="1" applyFont="1" applyFill="1" applyBorder="1" applyAlignment="1">
      <alignment horizontal="right" vertical="top"/>
    </xf>
    <xf numFmtId="39" fontId="26" fillId="2" borderId="0" xfId="2" applyNumberFormat="1" applyFont="1" applyFill="1" applyAlignment="1">
      <alignment horizontal="right" vertical="top"/>
    </xf>
    <xf numFmtId="39" fontId="26" fillId="2" borderId="20" xfId="2" applyNumberFormat="1" applyFont="1" applyFill="1" applyBorder="1" applyAlignment="1">
      <alignment horizontal="right" vertical="top"/>
    </xf>
    <xf numFmtId="39" fontId="26" fillId="2" borderId="19" xfId="2" applyNumberFormat="1" applyFont="1" applyFill="1" applyBorder="1" applyAlignment="1">
      <alignment horizontal="right" vertical="top"/>
    </xf>
    <xf numFmtId="39" fontId="26" fillId="2" borderId="38" xfId="2" applyNumberFormat="1" applyFont="1" applyFill="1" applyBorder="1" applyAlignment="1">
      <alignment horizontal="right" vertical="top"/>
    </xf>
    <xf numFmtId="39" fontId="26" fillId="2" borderId="23" xfId="2" applyNumberFormat="1" applyFont="1" applyFill="1" applyBorder="1" applyAlignment="1">
      <alignment horizontal="right" vertical="top"/>
    </xf>
    <xf numFmtId="0" fontId="35" fillId="2" borderId="20" xfId="2" applyFont="1" applyFill="1" applyBorder="1"/>
    <xf numFmtId="0" fontId="35" fillId="2" borderId="19" xfId="2" applyFont="1" applyFill="1" applyBorder="1" applyAlignment="1">
      <alignment horizontal="right"/>
    </xf>
    <xf numFmtId="0" fontId="35" fillId="2" borderId="38" xfId="2" applyFont="1" applyFill="1" applyBorder="1"/>
    <xf numFmtId="0" fontId="35" fillId="2" borderId="23" xfId="2" applyFont="1" applyFill="1" applyBorder="1"/>
    <xf numFmtId="169" fontId="35" fillId="2" borderId="39" xfId="2" applyNumberFormat="1" applyFont="1" applyFill="1" applyBorder="1" applyAlignment="1">
      <alignment horizontal="right"/>
    </xf>
    <xf numFmtId="17" fontId="12" fillId="0" borderId="0" xfId="2" quotePrefix="1" applyNumberFormat="1" applyFont="1"/>
    <xf numFmtId="0" fontId="2" fillId="4" borderId="24" xfId="3">
      <alignment horizontal="center" vertical="center" wrapText="1"/>
    </xf>
    <xf numFmtId="0" fontId="24" fillId="2" borderId="13" xfId="2" applyFont="1" applyFill="1" applyBorder="1"/>
    <xf numFmtId="0" fontId="24" fillId="2" borderId="32" xfId="2" applyFont="1" applyFill="1" applyBorder="1"/>
    <xf numFmtId="3" fontId="25" fillId="2" borderId="16" xfId="2" applyNumberFormat="1" applyFont="1" applyFill="1" applyBorder="1"/>
    <xf numFmtId="3" fontId="25" fillId="2" borderId="12" xfId="2" applyNumberFormat="1" applyFont="1" applyFill="1" applyBorder="1"/>
    <xf numFmtId="3" fontId="25" fillId="2" borderId="34" xfId="2" applyNumberFormat="1" applyFont="1" applyFill="1" applyBorder="1"/>
    <xf numFmtId="172" fontId="25" fillId="2" borderId="35" xfId="2" applyNumberFormat="1" applyFont="1" applyFill="1" applyBorder="1"/>
    <xf numFmtId="3" fontId="28" fillId="2" borderId="18" xfId="2" applyNumberFormat="1" applyFont="1" applyFill="1" applyBorder="1"/>
    <xf numFmtId="3" fontId="28" fillId="2" borderId="17" xfId="2" applyNumberFormat="1" applyFont="1" applyFill="1" applyBorder="1"/>
    <xf numFmtId="3" fontId="28" fillId="2" borderId="36" xfId="2" applyNumberFormat="1" applyFont="1" applyFill="1" applyBorder="1"/>
    <xf numFmtId="168" fontId="28" fillId="2" borderId="0" xfId="2" applyNumberFormat="1" applyFont="1" applyFill="1"/>
    <xf numFmtId="175" fontId="28" fillId="2" borderId="37" xfId="2" applyNumberFormat="1" applyFont="1" applyFill="1" applyBorder="1"/>
    <xf numFmtId="3" fontId="26" fillId="2" borderId="17" xfId="2" applyNumberFormat="1" applyFont="1" applyFill="1" applyBorder="1"/>
    <xf numFmtId="168" fontId="26" fillId="2" borderId="0" xfId="2" applyNumberFormat="1" applyFont="1" applyFill="1"/>
    <xf numFmtId="175" fontId="26" fillId="2" borderId="37" xfId="2" applyNumberFormat="1" applyFont="1" applyFill="1" applyBorder="1"/>
    <xf numFmtId="3" fontId="28" fillId="2" borderId="0" xfId="2" applyNumberFormat="1" applyFont="1" applyFill="1"/>
    <xf numFmtId="172" fontId="28" fillId="2" borderId="37" xfId="2" applyNumberFormat="1" applyFont="1" applyFill="1" applyBorder="1"/>
    <xf numFmtId="0" fontId="23" fillId="2" borderId="20" xfId="2" applyFont="1" applyFill="1" applyBorder="1" applyAlignment="1">
      <alignment horizontal="left" vertical="top"/>
    </xf>
    <xf numFmtId="3" fontId="28" fillId="2" borderId="20" xfId="2" applyNumberFormat="1" applyFont="1" applyFill="1" applyBorder="1"/>
    <xf numFmtId="3" fontId="28" fillId="2" borderId="19" xfId="2" applyNumberFormat="1" applyFont="1" applyFill="1" applyBorder="1"/>
    <xf numFmtId="3" fontId="28" fillId="2" borderId="38" xfId="2" applyNumberFormat="1" applyFont="1" applyFill="1" applyBorder="1"/>
    <xf numFmtId="3" fontId="28" fillId="2" borderId="23" xfId="2" applyNumberFormat="1" applyFont="1" applyFill="1" applyBorder="1"/>
    <xf numFmtId="172" fontId="28" fillId="2" borderId="39" xfId="2" applyNumberFormat="1" applyFont="1" applyFill="1" applyBorder="1"/>
    <xf numFmtId="0" fontId="23" fillId="2" borderId="16" xfId="2" applyFont="1" applyFill="1" applyBorder="1" applyAlignment="1">
      <alignment horizontal="center" vertical="top" wrapText="1"/>
    </xf>
    <xf numFmtId="0" fontId="23" fillId="2" borderId="18" xfId="2" applyFont="1" applyFill="1" applyBorder="1" applyAlignment="1">
      <alignment horizontal="center" vertical="top" wrapText="1"/>
    </xf>
    <xf numFmtId="0" fontId="23" fillId="2" borderId="20" xfId="2" applyFont="1" applyFill="1" applyBorder="1" applyAlignment="1">
      <alignment horizontal="center" vertical="top" wrapText="1"/>
    </xf>
    <xf numFmtId="3" fontId="26" fillId="2" borderId="20" xfId="2" applyNumberFormat="1" applyFont="1" applyFill="1" applyBorder="1"/>
    <xf numFmtId="3" fontId="26" fillId="2" borderId="19" xfId="2" applyNumberFormat="1" applyFont="1" applyFill="1" applyBorder="1"/>
    <xf numFmtId="168" fontId="26" fillId="2" borderId="23" xfId="2" applyNumberFormat="1" applyFont="1" applyFill="1" applyBorder="1"/>
    <xf numFmtId="176" fontId="26" fillId="2" borderId="39" xfId="2" applyNumberFormat="1" applyFont="1" applyFill="1" applyBorder="1"/>
    <xf numFmtId="3" fontId="28" fillId="2" borderId="18" xfId="2" applyNumberFormat="1" applyFont="1" applyFill="1" applyBorder="1" applyAlignment="1">
      <alignment horizontal="right"/>
    </xf>
    <xf numFmtId="3" fontId="28" fillId="2" borderId="17" xfId="2" applyNumberFormat="1" applyFont="1" applyFill="1" applyBorder="1" applyAlignment="1">
      <alignment horizontal="right"/>
    </xf>
    <xf numFmtId="3" fontId="28" fillId="2" borderId="36" xfId="2" applyNumberFormat="1" applyFont="1" applyFill="1" applyBorder="1" applyAlignment="1">
      <alignment horizontal="right"/>
    </xf>
    <xf numFmtId="168" fontId="28" fillId="2" borderId="0" xfId="2" applyNumberFormat="1" applyFont="1" applyFill="1" applyAlignment="1">
      <alignment horizontal="right"/>
    </xf>
    <xf numFmtId="171" fontId="28" fillId="2" borderId="37" xfId="2" applyNumberFormat="1" applyFont="1" applyFill="1" applyBorder="1" applyAlignment="1">
      <alignment horizontal="right"/>
    </xf>
    <xf numFmtId="172" fontId="28" fillId="2" borderId="18" xfId="2" applyNumberFormat="1" applyFont="1" applyFill="1" applyBorder="1" applyAlignment="1">
      <alignment vertical="top"/>
    </xf>
    <xf numFmtId="172" fontId="28" fillId="2" borderId="17" xfId="2" applyNumberFormat="1" applyFont="1" applyFill="1" applyBorder="1" applyAlignment="1">
      <alignment vertical="top"/>
    </xf>
    <xf numFmtId="172" fontId="28" fillId="2" borderId="36" xfId="2" applyNumberFormat="1" applyFont="1" applyFill="1" applyBorder="1" applyAlignment="1">
      <alignment vertical="top"/>
    </xf>
    <xf numFmtId="172" fontId="28" fillId="2" borderId="0" xfId="2" applyNumberFormat="1" applyFont="1" applyFill="1" applyAlignment="1">
      <alignment vertical="top"/>
    </xf>
    <xf numFmtId="0" fontId="28" fillId="2" borderId="37" xfId="2" applyFont="1" applyFill="1" applyBorder="1"/>
    <xf numFmtId="173" fontId="28" fillId="2" borderId="17" xfId="2" applyNumberFormat="1" applyFont="1" applyFill="1" applyBorder="1" applyAlignment="1">
      <alignment vertical="top"/>
    </xf>
    <xf numFmtId="172" fontId="26" fillId="2" borderId="18" xfId="2" applyNumberFormat="1" applyFont="1" applyFill="1" applyBorder="1" applyAlignment="1">
      <alignment vertical="top"/>
    </xf>
    <xf numFmtId="172" fontId="26" fillId="2" borderId="17" xfId="2" applyNumberFormat="1" applyFont="1" applyFill="1" applyBorder="1" applyAlignment="1">
      <alignment vertical="top"/>
    </xf>
    <xf numFmtId="173" fontId="26" fillId="2" borderId="17" xfId="2" applyNumberFormat="1" applyFont="1" applyFill="1" applyBorder="1" applyAlignment="1">
      <alignment vertical="top"/>
    </xf>
    <xf numFmtId="0" fontId="26" fillId="2" borderId="37" xfId="2" applyFont="1" applyFill="1" applyBorder="1"/>
    <xf numFmtId="172" fontId="28" fillId="2" borderId="20" xfId="2" applyNumberFormat="1" applyFont="1" applyFill="1" applyBorder="1" applyAlignment="1">
      <alignment vertical="top"/>
    </xf>
    <xf numFmtId="172" fontId="28" fillId="2" borderId="19" xfId="2" applyNumberFormat="1" applyFont="1" applyFill="1" applyBorder="1" applyAlignment="1">
      <alignment vertical="top"/>
    </xf>
    <xf numFmtId="172" fontId="28" fillId="2" borderId="38" xfId="2" applyNumberFormat="1" applyFont="1" applyFill="1" applyBorder="1" applyAlignment="1">
      <alignment vertical="top"/>
    </xf>
    <xf numFmtId="172" fontId="28" fillId="2" borderId="23" xfId="2" applyNumberFormat="1" applyFont="1" applyFill="1" applyBorder="1" applyAlignment="1">
      <alignment horizontal="right" vertical="top"/>
    </xf>
    <xf numFmtId="0" fontId="26" fillId="2" borderId="39" xfId="2" applyFont="1" applyFill="1" applyBorder="1"/>
    <xf numFmtId="172" fontId="28" fillId="2" borderId="18" xfId="2" applyNumberFormat="1" applyFont="1" applyFill="1" applyBorder="1"/>
    <xf numFmtId="172" fontId="28" fillId="2" borderId="17" xfId="2" applyNumberFormat="1" applyFont="1" applyFill="1" applyBorder="1"/>
    <xf numFmtId="172" fontId="28" fillId="2" borderId="36" xfId="2" applyNumberFormat="1" applyFont="1" applyFill="1" applyBorder="1"/>
    <xf numFmtId="172" fontId="28" fillId="2" borderId="0" xfId="2" applyNumberFormat="1" applyFont="1" applyFill="1"/>
    <xf numFmtId="173" fontId="28" fillId="2" borderId="17" xfId="2" applyNumberFormat="1" applyFont="1" applyFill="1" applyBorder="1"/>
    <xf numFmtId="172" fontId="26" fillId="2" borderId="18" xfId="2" applyNumberFormat="1" applyFont="1" applyFill="1" applyBorder="1"/>
    <xf numFmtId="172" fontId="26" fillId="2" borderId="17" xfId="2" applyNumberFormat="1" applyFont="1" applyFill="1" applyBorder="1"/>
    <xf numFmtId="173" fontId="26" fillId="2" borderId="17" xfId="2" applyNumberFormat="1" applyFont="1" applyFill="1" applyBorder="1"/>
    <xf numFmtId="0" fontId="23" fillId="2" borderId="19" xfId="2" applyFont="1" applyFill="1" applyBorder="1" applyAlignment="1">
      <alignment vertical="top"/>
    </xf>
    <xf numFmtId="172" fontId="28" fillId="2" borderId="20" xfId="2" applyNumberFormat="1" applyFont="1" applyFill="1" applyBorder="1"/>
    <xf numFmtId="172" fontId="28" fillId="2" borderId="19" xfId="2" applyNumberFormat="1" applyFont="1" applyFill="1" applyBorder="1"/>
    <xf numFmtId="172" fontId="28" fillId="2" borderId="38" xfId="2" applyNumberFormat="1" applyFont="1" applyFill="1" applyBorder="1"/>
    <xf numFmtId="172" fontId="28" fillId="2" borderId="23" xfId="2" applyNumberFormat="1" applyFont="1" applyFill="1" applyBorder="1"/>
    <xf numFmtId="3" fontId="25" fillId="2" borderId="18" xfId="2" applyNumberFormat="1" applyFont="1" applyFill="1" applyBorder="1"/>
    <xf numFmtId="3" fontId="25" fillId="2" borderId="17" xfId="2" applyNumberFormat="1" applyFont="1" applyFill="1" applyBorder="1"/>
    <xf numFmtId="3" fontId="25" fillId="2" borderId="0" xfId="2" applyNumberFormat="1" applyFont="1" applyFill="1"/>
    <xf numFmtId="169" fontId="25" fillId="2" borderId="37" xfId="2" applyNumberFormat="1" applyFont="1" applyFill="1" applyBorder="1"/>
    <xf numFmtId="169" fontId="26" fillId="2" borderId="37" xfId="2" applyNumberFormat="1" applyFont="1" applyFill="1" applyBorder="1"/>
    <xf numFmtId="170" fontId="26" fillId="2" borderId="0" xfId="2" applyNumberFormat="1" applyFont="1" applyFill="1"/>
    <xf numFmtId="0" fontId="26" fillId="2" borderId="19" xfId="2" applyFont="1" applyFill="1" applyBorder="1"/>
    <xf numFmtId="169" fontId="26" fillId="2" borderId="39" xfId="2" applyNumberFormat="1" applyFont="1" applyFill="1" applyBorder="1"/>
    <xf numFmtId="3" fontId="25" fillId="2" borderId="18" xfId="2" applyNumberFormat="1" applyFont="1" applyFill="1" applyBorder="1" applyAlignment="1">
      <alignment horizontal="right" vertical="top"/>
    </xf>
    <xf numFmtId="3" fontId="25" fillId="2" borderId="17" xfId="2" applyNumberFormat="1" applyFont="1" applyFill="1" applyBorder="1" applyAlignment="1">
      <alignment horizontal="right" vertical="top"/>
    </xf>
    <xf numFmtId="3" fontId="25" fillId="2" borderId="0" xfId="2" applyNumberFormat="1" applyFont="1" applyFill="1" applyAlignment="1">
      <alignment horizontal="right" vertical="top"/>
    </xf>
    <xf numFmtId="3" fontId="26" fillId="2" borderId="18" xfId="2" applyNumberFormat="1" applyFont="1" applyFill="1" applyBorder="1" applyAlignment="1">
      <alignment horizontal="right"/>
    </xf>
    <xf numFmtId="3" fontId="26" fillId="2" borderId="36" xfId="2" applyNumberFormat="1" applyFont="1" applyFill="1" applyBorder="1" applyAlignment="1">
      <alignment horizontal="right"/>
    </xf>
    <xf numFmtId="37" fontId="28" fillId="2" borderId="0" xfId="2" applyNumberFormat="1" applyFont="1" applyFill="1" applyAlignment="1">
      <alignment horizontal="right"/>
    </xf>
    <xf numFmtId="168" fontId="26" fillId="2" borderId="0" xfId="2" applyNumberFormat="1" applyFont="1" applyFill="1" applyAlignment="1">
      <alignment horizontal="right"/>
    </xf>
    <xf numFmtId="176" fontId="26" fillId="2" borderId="37" xfId="2" applyNumberFormat="1" applyFont="1" applyFill="1" applyBorder="1" applyAlignment="1">
      <alignment horizontal="right" vertical="top"/>
    </xf>
    <xf numFmtId="172" fontId="26" fillId="2" borderId="20" xfId="2" applyNumberFormat="1" applyFont="1" applyFill="1" applyBorder="1" applyAlignment="1">
      <alignment vertical="top"/>
    </xf>
    <xf numFmtId="172" fontId="26" fillId="2" borderId="19" xfId="2" applyNumberFormat="1" applyFont="1" applyFill="1" applyBorder="1" applyAlignment="1">
      <alignment vertical="top"/>
    </xf>
    <xf numFmtId="176" fontId="26" fillId="2" borderId="23" xfId="2" applyNumberFormat="1" applyFont="1" applyFill="1" applyBorder="1" applyAlignment="1">
      <alignment horizontal="right" vertical="top"/>
    </xf>
    <xf numFmtId="172" fontId="26" fillId="2" borderId="39" xfId="2" applyNumberFormat="1" applyFont="1" applyFill="1" applyBorder="1"/>
    <xf numFmtId="0" fontId="26" fillId="2" borderId="12" xfId="2" applyFont="1" applyFill="1" applyBorder="1"/>
    <xf numFmtId="0" fontId="26" fillId="2" borderId="35" xfId="2" applyFont="1" applyFill="1" applyBorder="1"/>
    <xf numFmtId="0" fontId="26" fillId="2" borderId="17" xfId="2" applyFont="1" applyFill="1" applyBorder="1"/>
    <xf numFmtId="176" fontId="26" fillId="2" borderId="0" xfId="2" applyNumberFormat="1" applyFont="1" applyFill="1" applyAlignment="1">
      <alignment horizontal="right"/>
    </xf>
    <xf numFmtId="172" fontId="26" fillId="2" borderId="20" xfId="2" applyNumberFormat="1" applyFont="1" applyFill="1" applyBorder="1"/>
    <xf numFmtId="172" fontId="26" fillId="2" borderId="19" xfId="2" applyNumberFormat="1" applyFont="1" applyFill="1" applyBorder="1"/>
    <xf numFmtId="176" fontId="26" fillId="2" borderId="23" xfId="2" applyNumberFormat="1" applyFont="1" applyFill="1" applyBorder="1" applyAlignment="1">
      <alignment horizontal="right"/>
    </xf>
    <xf numFmtId="175" fontId="28" fillId="2" borderId="18" xfId="2" applyNumberFormat="1" applyFont="1" applyFill="1" applyBorder="1" applyAlignment="1">
      <alignment horizontal="right" vertical="top"/>
    </xf>
    <xf numFmtId="175" fontId="28" fillId="2" borderId="17" xfId="2" applyNumberFormat="1" applyFont="1" applyFill="1" applyBorder="1" applyAlignment="1">
      <alignment horizontal="right" vertical="top"/>
    </xf>
    <xf numFmtId="175" fontId="28" fillId="2" borderId="36" xfId="2" applyNumberFormat="1" applyFont="1" applyFill="1" applyBorder="1" applyAlignment="1">
      <alignment horizontal="right" vertical="top"/>
    </xf>
    <xf numFmtId="176" fontId="28" fillId="2" borderId="0" xfId="2" applyNumberFormat="1" applyFont="1" applyFill="1" applyAlignment="1">
      <alignment vertical="top"/>
    </xf>
    <xf numFmtId="172" fontId="28" fillId="2" borderId="37" xfId="2" applyNumberFormat="1" applyFont="1" applyFill="1" applyBorder="1" applyAlignment="1">
      <alignment horizontal="right" vertical="top"/>
    </xf>
    <xf numFmtId="175" fontId="26" fillId="2" borderId="20" xfId="2" applyNumberFormat="1" applyFont="1" applyFill="1" applyBorder="1" applyAlignment="1">
      <alignment horizontal="right" vertical="top"/>
    </xf>
    <xf numFmtId="175" fontId="26" fillId="2" borderId="19" xfId="2" applyNumberFormat="1" applyFont="1" applyFill="1" applyBorder="1" applyAlignment="1">
      <alignment horizontal="right" vertical="top"/>
    </xf>
    <xf numFmtId="175" fontId="26" fillId="2" borderId="38" xfId="2" applyNumberFormat="1" applyFont="1" applyFill="1" applyBorder="1" applyAlignment="1">
      <alignment horizontal="right" vertical="top"/>
    </xf>
    <xf numFmtId="176" fontId="26" fillId="2" borderId="23" xfId="2" applyNumberFormat="1" applyFont="1" applyFill="1" applyBorder="1" applyAlignment="1">
      <alignment vertical="top"/>
    </xf>
    <xf numFmtId="172" fontId="26" fillId="2" borderId="39" xfId="2" applyNumberFormat="1" applyFont="1" applyFill="1" applyBorder="1" applyAlignment="1">
      <alignment horizontal="right" vertical="top"/>
    </xf>
    <xf numFmtId="176" fontId="26" fillId="2" borderId="0" xfId="2" applyNumberFormat="1" applyFont="1" applyFill="1" applyAlignment="1">
      <alignment vertical="top"/>
    </xf>
    <xf numFmtId="172" fontId="28" fillId="2" borderId="16" xfId="2" applyNumberFormat="1" applyFont="1" applyFill="1" applyBorder="1" applyAlignment="1">
      <alignment horizontal="right" vertical="top"/>
    </xf>
    <xf numFmtId="172" fontId="28" fillId="2" borderId="12" xfId="2" applyNumberFormat="1" applyFont="1" applyFill="1" applyBorder="1" applyAlignment="1">
      <alignment horizontal="right" vertical="top"/>
    </xf>
    <xf numFmtId="172" fontId="28" fillId="2" borderId="33" xfId="2" applyNumberFormat="1" applyFont="1" applyFill="1" applyBorder="1" applyAlignment="1">
      <alignment horizontal="right" vertical="top"/>
    </xf>
    <xf numFmtId="176" fontId="28" fillId="2" borderId="34" xfId="2" applyNumberFormat="1" applyFont="1" applyFill="1" applyBorder="1" applyAlignment="1">
      <alignment horizontal="right" vertical="top"/>
    </xf>
    <xf numFmtId="0" fontId="28" fillId="2" borderId="35" xfId="2" applyFont="1" applyFill="1" applyBorder="1" applyAlignment="1">
      <alignment vertical="top"/>
    </xf>
    <xf numFmtId="172" fontId="28" fillId="2" borderId="20" xfId="2" applyNumberFormat="1" applyFont="1" applyFill="1" applyBorder="1" applyAlignment="1">
      <alignment horizontal="right" vertical="top"/>
    </xf>
    <xf numFmtId="172" fontId="28" fillId="2" borderId="19" xfId="2" applyNumberFormat="1" applyFont="1" applyFill="1" applyBorder="1" applyAlignment="1">
      <alignment horizontal="right" vertical="top"/>
    </xf>
    <xf numFmtId="172" fontId="28" fillId="2" borderId="38" xfId="2" applyNumberFormat="1" applyFont="1" applyFill="1" applyBorder="1" applyAlignment="1">
      <alignment horizontal="right" vertical="top"/>
    </xf>
    <xf numFmtId="2" fontId="28" fillId="2" borderId="16" xfId="2" applyNumberFormat="1" applyFont="1" applyFill="1" applyBorder="1" applyAlignment="1">
      <alignment horizontal="right"/>
    </xf>
    <xf numFmtId="2" fontId="28" fillId="2" borderId="12" xfId="2" applyNumberFormat="1" applyFont="1" applyFill="1" applyBorder="1" applyAlignment="1">
      <alignment horizontal="right"/>
    </xf>
    <xf numFmtId="2" fontId="28" fillId="2" borderId="33" xfId="2" applyNumberFormat="1" applyFont="1" applyFill="1" applyBorder="1" applyAlignment="1">
      <alignment horizontal="right"/>
    </xf>
    <xf numFmtId="4" fontId="28" fillId="2" borderId="34" xfId="2" applyNumberFormat="1" applyFont="1" applyFill="1" applyBorder="1" applyAlignment="1">
      <alignment horizontal="right"/>
    </xf>
    <xf numFmtId="0" fontId="28" fillId="2" borderId="35" xfId="2" applyFont="1" applyFill="1" applyBorder="1"/>
    <xf numFmtId="172" fontId="28" fillId="2" borderId="20" xfId="2" applyNumberFormat="1" applyFont="1" applyFill="1" applyBorder="1" applyAlignment="1">
      <alignment horizontal="right"/>
    </xf>
    <xf numFmtId="172" fontId="28" fillId="2" borderId="19" xfId="2" applyNumberFormat="1" applyFont="1" applyFill="1" applyBorder="1" applyAlignment="1">
      <alignment horizontal="right"/>
    </xf>
    <xf numFmtId="172" fontId="28" fillId="2" borderId="36" xfId="2" applyNumberFormat="1" applyFont="1" applyFill="1" applyBorder="1" applyAlignment="1">
      <alignment horizontal="right"/>
    </xf>
    <xf numFmtId="172" fontId="28" fillId="2" borderId="0" xfId="2" applyNumberFormat="1" applyFont="1" applyFill="1" applyAlignment="1">
      <alignment horizontal="right"/>
    </xf>
    <xf numFmtId="2" fontId="28" fillId="2" borderId="39" xfId="2" applyNumberFormat="1" applyFont="1" applyFill="1" applyBorder="1"/>
    <xf numFmtId="2" fontId="28" fillId="2" borderId="35" xfId="2" applyNumberFormat="1" applyFont="1" applyFill="1" applyBorder="1"/>
    <xf numFmtId="176" fontId="28" fillId="2" borderId="0" xfId="2" applyNumberFormat="1" applyFont="1" applyFill="1" applyAlignment="1">
      <alignment horizontal="right"/>
    </xf>
    <xf numFmtId="0" fontId="28" fillId="2" borderId="39" xfId="2" applyFont="1" applyFill="1" applyBorder="1"/>
    <xf numFmtId="175" fontId="28" fillId="2" borderId="18" xfId="2" applyNumberFormat="1" applyFont="1" applyFill="1" applyBorder="1" applyAlignment="1">
      <alignment vertical="top"/>
    </xf>
    <xf numFmtId="176" fontId="28" fillId="2" borderId="17" xfId="4" applyNumberFormat="1" applyFont="1" applyFill="1" applyBorder="1" applyAlignment="1">
      <alignment vertical="top"/>
    </xf>
    <xf numFmtId="175" fontId="28" fillId="2" borderId="36" xfId="2" applyNumberFormat="1" applyFont="1" applyFill="1" applyBorder="1" applyAlignment="1">
      <alignment vertical="top"/>
    </xf>
    <xf numFmtId="175" fontId="28" fillId="2" borderId="0" xfId="2" applyNumberFormat="1" applyFont="1" applyFill="1" applyAlignment="1">
      <alignment horizontal="right" vertical="top"/>
    </xf>
    <xf numFmtId="172" fontId="26" fillId="2" borderId="37" xfId="2" applyNumberFormat="1" applyFont="1" applyFill="1" applyBorder="1"/>
    <xf numFmtId="172" fontId="26" fillId="2" borderId="18" xfId="2" applyNumberFormat="1" applyFont="1" applyFill="1" applyBorder="1" applyAlignment="1">
      <alignment horizontal="right"/>
    </xf>
    <xf numFmtId="172" fontId="26" fillId="2" borderId="17" xfId="2" applyNumberFormat="1" applyFont="1" applyFill="1" applyBorder="1" applyAlignment="1">
      <alignment horizontal="right"/>
    </xf>
    <xf numFmtId="172" fontId="26" fillId="2" borderId="36" xfId="2" applyNumberFormat="1" applyFont="1" applyFill="1" applyBorder="1" applyAlignment="1">
      <alignment horizontal="right"/>
    </xf>
    <xf numFmtId="169" fontId="28" fillId="2" borderId="37" xfId="2" applyNumberFormat="1" applyFont="1" applyFill="1" applyBorder="1" applyAlignment="1">
      <alignment horizontal="right"/>
    </xf>
    <xf numFmtId="175" fontId="26" fillId="2" borderId="0" xfId="2" applyNumberFormat="1" applyFont="1" applyFill="1"/>
    <xf numFmtId="175" fontId="26" fillId="2" borderId="20" xfId="2" applyNumberFormat="1" applyFont="1" applyFill="1" applyBorder="1" applyAlignment="1">
      <alignment horizontal="right"/>
    </xf>
    <xf numFmtId="175" fontId="26" fillId="2" borderId="38" xfId="2" applyNumberFormat="1" applyFont="1" applyFill="1" applyBorder="1" applyAlignment="1">
      <alignment horizontal="right"/>
    </xf>
    <xf numFmtId="2" fontId="28" fillId="2" borderId="11" xfId="2" applyNumberFormat="1" applyFont="1" applyFill="1" applyBorder="1" applyAlignment="1">
      <alignment horizontal="right" vertical="top"/>
    </xf>
    <xf numFmtId="2" fontId="28" fillId="2" borderId="13" xfId="2" applyNumberFormat="1" applyFont="1" applyFill="1" applyBorder="1" applyAlignment="1">
      <alignment horizontal="right" vertical="top"/>
    </xf>
    <xf numFmtId="2" fontId="28" fillId="2" borderId="15" xfId="2" applyNumberFormat="1" applyFont="1" applyFill="1" applyBorder="1" applyAlignment="1">
      <alignment vertical="top"/>
    </xf>
    <xf numFmtId="39" fontId="28" fillId="2" borderId="14" xfId="2" applyNumberFormat="1" applyFont="1" applyFill="1" applyBorder="1" applyAlignment="1">
      <alignment horizontal="right" vertical="top"/>
    </xf>
    <xf numFmtId="172" fontId="26" fillId="2" borderId="32" xfId="2" applyNumberFormat="1" applyFont="1" applyFill="1" applyBorder="1" applyAlignment="1">
      <alignment vertical="top"/>
    </xf>
    <xf numFmtId="2" fontId="28" fillId="2" borderId="18" xfId="2" applyNumberFormat="1" applyFont="1" applyFill="1" applyBorder="1" applyAlignment="1">
      <alignment horizontal="right" vertical="top"/>
    </xf>
    <xf numFmtId="2" fontId="28" fillId="2" borderId="17" xfId="2" applyNumberFormat="1" applyFont="1" applyFill="1" applyBorder="1" applyAlignment="1">
      <alignment horizontal="right" vertical="top"/>
    </xf>
    <xf numFmtId="2" fontId="28" fillId="2" borderId="36" xfId="2" applyNumberFormat="1" applyFont="1" applyFill="1" applyBorder="1" applyAlignment="1">
      <alignment horizontal="right" vertical="top"/>
    </xf>
    <xf numFmtId="4" fontId="28" fillId="2" borderId="0" xfId="2" applyNumberFormat="1" applyFont="1" applyFill="1" applyAlignment="1">
      <alignment horizontal="right" vertical="top"/>
    </xf>
    <xf numFmtId="178" fontId="28" fillId="2" borderId="0" xfId="2" applyNumberFormat="1" applyFont="1" applyFill="1" applyAlignment="1">
      <alignment horizontal="right" vertical="top"/>
    </xf>
    <xf numFmtId="179" fontId="28" fillId="2" borderId="20" xfId="2" applyNumberFormat="1" applyFont="1" applyFill="1" applyBorder="1" applyAlignment="1">
      <alignment horizontal="right" vertical="top"/>
    </xf>
    <xf numFmtId="2" fontId="28" fillId="2" borderId="38" xfId="2" applyNumberFormat="1" applyFont="1" applyFill="1" applyBorder="1" applyAlignment="1">
      <alignment horizontal="right" vertical="top"/>
    </xf>
    <xf numFmtId="178" fontId="28" fillId="2" borderId="23" xfId="2" applyNumberFormat="1" applyFont="1" applyFill="1" applyBorder="1" applyAlignment="1">
      <alignment horizontal="right" vertical="top"/>
    </xf>
    <xf numFmtId="175" fontId="25" fillId="2" borderId="18" xfId="2" applyNumberFormat="1" applyFont="1" applyFill="1" applyBorder="1" applyAlignment="1">
      <alignment horizontal="right" vertical="top"/>
    </xf>
    <xf numFmtId="175" fontId="25" fillId="2" borderId="12" xfId="2" applyNumberFormat="1" applyFont="1" applyFill="1" applyBorder="1" applyAlignment="1">
      <alignment horizontal="right" vertical="top"/>
    </xf>
    <xf numFmtId="172" fontId="25" fillId="2" borderId="37" xfId="2" applyNumberFormat="1" applyFont="1" applyFill="1" applyBorder="1" applyAlignment="1">
      <alignment horizontal="right" vertical="top"/>
    </xf>
    <xf numFmtId="175" fontId="36" fillId="2" borderId="38" xfId="2" applyNumberFormat="1" applyFont="1" applyFill="1" applyBorder="1" applyAlignment="1">
      <alignment horizontal="right" vertical="top"/>
    </xf>
    <xf numFmtId="174" fontId="28" fillId="2" borderId="0" xfId="2" applyNumberFormat="1" applyFont="1" applyFill="1" applyAlignment="1">
      <alignment horizontal="right" vertical="top"/>
    </xf>
    <xf numFmtId="171" fontId="25" fillId="2" borderId="37" xfId="2" applyNumberFormat="1" applyFont="1" applyFill="1" applyBorder="1" applyAlignment="1">
      <alignment horizontal="right" vertical="top"/>
    </xf>
    <xf numFmtId="3" fontId="28" fillId="2" borderId="18" xfId="2" applyNumberFormat="1" applyFont="1" applyFill="1" applyBorder="1" applyAlignment="1">
      <alignment horizontal="right" vertical="top"/>
    </xf>
    <xf numFmtId="3" fontId="28" fillId="2" borderId="17" xfId="2" applyNumberFormat="1" applyFont="1" applyFill="1" applyBorder="1" applyAlignment="1">
      <alignment horizontal="right" vertical="top"/>
    </xf>
    <xf numFmtId="171" fontId="28" fillId="2" borderId="37" xfId="2" applyNumberFormat="1" applyFont="1" applyFill="1" applyBorder="1" applyAlignment="1">
      <alignment horizontal="right" vertical="top"/>
    </xf>
    <xf numFmtId="3" fontId="26" fillId="2" borderId="18" xfId="2" applyNumberFormat="1" applyFont="1" applyFill="1" applyBorder="1" applyAlignment="1">
      <alignment horizontal="right" vertical="top"/>
    </xf>
    <xf numFmtId="3" fontId="26" fillId="2" borderId="17" xfId="2" applyNumberFormat="1" applyFont="1" applyFill="1" applyBorder="1" applyAlignment="1">
      <alignment horizontal="right" vertical="top"/>
    </xf>
    <xf numFmtId="3" fontId="26" fillId="2" borderId="36" xfId="2" applyNumberFormat="1" applyFont="1" applyFill="1" applyBorder="1" applyAlignment="1">
      <alignment horizontal="right" vertical="top"/>
    </xf>
    <xf numFmtId="171" fontId="26" fillId="2" borderId="37" xfId="2" applyNumberFormat="1" applyFont="1" applyFill="1" applyBorder="1" applyAlignment="1">
      <alignment horizontal="right" vertical="top"/>
    </xf>
    <xf numFmtId="174" fontId="26" fillId="2" borderId="0" xfId="2" applyNumberFormat="1" applyFont="1" applyFill="1" applyAlignment="1">
      <alignment horizontal="right" vertical="top"/>
    </xf>
    <xf numFmtId="3" fontId="28" fillId="2" borderId="0" xfId="2" applyNumberFormat="1" applyFont="1" applyFill="1" applyAlignment="1">
      <alignment horizontal="right" vertical="top"/>
    </xf>
    <xf numFmtId="0" fontId="26" fillId="2" borderId="18" xfId="2" applyFont="1" applyFill="1" applyBorder="1" applyAlignment="1">
      <alignment horizontal="right" vertical="top"/>
    </xf>
    <xf numFmtId="0" fontId="26" fillId="2" borderId="0" xfId="2" applyFont="1" applyFill="1" applyAlignment="1">
      <alignment horizontal="right" vertical="top"/>
    </xf>
    <xf numFmtId="170" fontId="25" fillId="2" borderId="0" xfId="2" applyNumberFormat="1" applyFont="1" applyFill="1" applyAlignment="1">
      <alignment horizontal="right" vertical="top"/>
    </xf>
    <xf numFmtId="170" fontId="28" fillId="2" borderId="0" xfId="2" applyNumberFormat="1" applyFont="1" applyFill="1" applyAlignment="1">
      <alignment horizontal="right" vertical="top"/>
    </xf>
    <xf numFmtId="0" fontId="26" fillId="2" borderId="0" xfId="2" applyFont="1" applyFill="1" applyAlignment="1">
      <alignment vertical="top"/>
    </xf>
    <xf numFmtId="0" fontId="23" fillId="2" borderId="19" xfId="2" applyFont="1" applyFill="1" applyBorder="1" applyAlignment="1">
      <alignment horizontal="right" vertical="top"/>
    </xf>
    <xf numFmtId="3" fontId="28" fillId="2" borderId="20" xfId="2" applyNumberFormat="1" applyFont="1" applyFill="1" applyBorder="1" applyAlignment="1">
      <alignment horizontal="right"/>
    </xf>
    <xf numFmtId="3" fontId="28" fillId="2" borderId="19" xfId="2" applyNumberFormat="1" applyFont="1" applyFill="1" applyBorder="1" applyAlignment="1">
      <alignment horizontal="right"/>
    </xf>
    <xf numFmtId="3" fontId="28" fillId="2" borderId="38" xfId="2" applyNumberFormat="1" applyFont="1" applyFill="1" applyBorder="1" applyAlignment="1">
      <alignment horizontal="right"/>
    </xf>
    <xf numFmtId="37" fontId="28" fillId="2" borderId="23" xfId="2" applyNumberFormat="1" applyFont="1" applyFill="1" applyBorder="1"/>
    <xf numFmtId="169" fontId="28" fillId="2" borderId="39" xfId="2" applyNumberFormat="1" applyFont="1" applyFill="1" applyBorder="1"/>
    <xf numFmtId="3" fontId="25" fillId="2" borderId="18" xfId="2" applyNumberFormat="1" applyFont="1" applyFill="1" applyBorder="1" applyAlignment="1">
      <alignment vertical="top"/>
    </xf>
    <xf numFmtId="3" fontId="25" fillId="2" borderId="17" xfId="2" applyNumberFormat="1" applyFont="1" applyFill="1" applyBorder="1" applyAlignment="1">
      <alignment vertical="top"/>
    </xf>
    <xf numFmtId="169" fontId="25" fillId="2" borderId="37" xfId="2" applyNumberFormat="1" applyFont="1" applyFill="1" applyBorder="1" applyAlignment="1">
      <alignment vertical="top"/>
    </xf>
    <xf numFmtId="0" fontId="23" fillId="2" borderId="0" xfId="2" applyFont="1" applyFill="1" applyAlignment="1">
      <alignment horizontal="left" vertical="top" indent="4"/>
    </xf>
    <xf numFmtId="0" fontId="23" fillId="2" borderId="0" xfId="2" applyFont="1" applyFill="1" applyAlignment="1">
      <alignment horizontal="left" vertical="top" indent="5"/>
    </xf>
    <xf numFmtId="0" fontId="24" fillId="2" borderId="0" xfId="2" applyFont="1" applyFill="1" applyAlignment="1">
      <alignment horizontal="left" vertical="top" indent="6"/>
    </xf>
    <xf numFmtId="169" fontId="26" fillId="2" borderId="37" xfId="2" applyNumberFormat="1" applyFont="1" applyFill="1" applyBorder="1" applyAlignment="1">
      <alignment vertical="top"/>
    </xf>
    <xf numFmtId="0" fontId="24" fillId="2" borderId="23" xfId="2" applyFont="1" applyFill="1" applyBorder="1" applyAlignment="1">
      <alignment horizontal="left" vertical="top" indent="6"/>
    </xf>
    <xf numFmtId="3" fontId="26" fillId="2" borderId="20" xfId="2" applyNumberFormat="1" applyFont="1" applyFill="1" applyBorder="1" applyAlignment="1">
      <alignment horizontal="right" vertical="top"/>
    </xf>
    <xf numFmtId="3" fontId="26" fillId="2" borderId="19" xfId="2" applyNumberFormat="1" applyFont="1" applyFill="1" applyBorder="1" applyAlignment="1">
      <alignment horizontal="right" vertical="top"/>
    </xf>
    <xf numFmtId="3" fontId="26" fillId="2" borderId="38" xfId="2" applyNumberFormat="1" applyFont="1" applyFill="1" applyBorder="1" applyAlignment="1">
      <alignment horizontal="right" vertical="top"/>
    </xf>
    <xf numFmtId="37" fontId="26" fillId="2" borderId="23" xfId="2" applyNumberFormat="1" applyFont="1" applyFill="1" applyBorder="1" applyAlignment="1">
      <alignment vertical="top"/>
    </xf>
    <xf numFmtId="169" fontId="26" fillId="2" borderId="39" xfId="2" applyNumberFormat="1" applyFont="1" applyFill="1" applyBorder="1" applyAlignment="1">
      <alignment vertical="top"/>
    </xf>
    <xf numFmtId="3" fontId="25" fillId="2" borderId="16" xfId="2" applyNumberFormat="1" applyFont="1" applyFill="1" applyBorder="1" applyAlignment="1">
      <alignment horizontal="right" vertical="top"/>
    </xf>
    <xf numFmtId="3" fontId="25" fillId="2" borderId="12" xfId="2" applyNumberFormat="1" applyFont="1" applyFill="1" applyBorder="1" applyAlignment="1">
      <alignment horizontal="right" vertical="top"/>
    </xf>
    <xf numFmtId="3" fontId="25" fillId="2" borderId="33" xfId="2" applyNumberFormat="1" applyFont="1" applyFill="1" applyBorder="1" applyAlignment="1">
      <alignment horizontal="right" vertical="top"/>
    </xf>
    <xf numFmtId="37" fontId="25" fillId="2" borderId="34" xfId="2" applyNumberFormat="1" applyFont="1" applyFill="1" applyBorder="1" applyAlignment="1">
      <alignment vertical="top"/>
    </xf>
    <xf numFmtId="169" fontId="25" fillId="2" borderId="35" xfId="2" applyNumberFormat="1" applyFont="1" applyFill="1" applyBorder="1" applyAlignment="1">
      <alignment vertical="top"/>
    </xf>
    <xf numFmtId="0" fontId="26" fillId="2" borderId="36" xfId="2" applyFont="1" applyFill="1" applyBorder="1" applyAlignment="1">
      <alignment vertical="top"/>
    </xf>
    <xf numFmtId="0" fontId="26" fillId="2" borderId="17" xfId="2" applyFont="1" applyFill="1" applyBorder="1" applyAlignment="1">
      <alignment vertical="top"/>
    </xf>
    <xf numFmtId="0" fontId="24" fillId="2" borderId="19" xfId="2" applyFont="1" applyFill="1" applyBorder="1" applyAlignment="1">
      <alignment horizontal="left" vertical="top" shrinkToFit="1"/>
    </xf>
    <xf numFmtId="0" fontId="26" fillId="2" borderId="19" xfId="2" applyFont="1" applyFill="1" applyBorder="1" applyAlignment="1">
      <alignment vertical="top"/>
    </xf>
    <xf numFmtId="0" fontId="26" fillId="2" borderId="38" xfId="2" applyFont="1" applyFill="1" applyBorder="1" applyAlignment="1">
      <alignment vertical="top"/>
    </xf>
    <xf numFmtId="0" fontId="26" fillId="2" borderId="13" xfId="2" applyFont="1" applyFill="1" applyBorder="1"/>
    <xf numFmtId="0" fontId="26" fillId="2" borderId="32" xfId="2" applyFont="1" applyFill="1" applyBorder="1"/>
    <xf numFmtId="175" fontId="28" fillId="2" borderId="17" xfId="2" applyNumberFormat="1" applyFont="1" applyFill="1" applyBorder="1" applyAlignment="1">
      <alignment vertical="top"/>
    </xf>
    <xf numFmtId="175" fontId="28" fillId="2" borderId="0" xfId="2" applyNumberFormat="1" applyFont="1" applyFill="1" applyAlignment="1">
      <alignment vertical="top"/>
    </xf>
    <xf numFmtId="172" fontId="28" fillId="2" borderId="37" xfId="2" applyNumberFormat="1" applyFont="1" applyFill="1" applyBorder="1" applyAlignment="1">
      <alignment vertical="top"/>
    </xf>
    <xf numFmtId="175" fontId="28" fillId="2" borderId="20" xfId="2" applyNumberFormat="1" applyFont="1" applyFill="1" applyBorder="1" applyAlignment="1">
      <alignment horizontal="right"/>
    </xf>
    <xf numFmtId="175" fontId="28" fillId="2" borderId="19" xfId="2" applyNumberFormat="1" applyFont="1" applyFill="1" applyBorder="1" applyAlignment="1">
      <alignment horizontal="right"/>
    </xf>
    <xf numFmtId="175" fontId="28" fillId="2" borderId="38" xfId="2" applyNumberFormat="1" applyFont="1" applyFill="1" applyBorder="1" applyAlignment="1">
      <alignment horizontal="right"/>
    </xf>
    <xf numFmtId="172" fontId="26" fillId="2" borderId="35" xfId="2" applyNumberFormat="1" applyFont="1" applyFill="1" applyBorder="1"/>
    <xf numFmtId="172" fontId="37" fillId="2" borderId="36" xfId="2" applyNumberFormat="1" applyFont="1" applyFill="1" applyBorder="1" applyAlignment="1">
      <alignment horizontal="right" vertical="top"/>
    </xf>
    <xf numFmtId="172" fontId="28" fillId="2" borderId="18" xfId="2" applyNumberFormat="1" applyFont="1" applyFill="1" applyBorder="1" applyAlignment="1">
      <alignment horizontal="right" vertical="top"/>
    </xf>
    <xf numFmtId="2" fontId="26" fillId="2" borderId="18" xfId="2" applyNumberFormat="1" applyFont="1" applyFill="1" applyBorder="1" applyAlignment="1">
      <alignment vertical="top"/>
    </xf>
    <xf numFmtId="2" fontId="26" fillId="2" borderId="17" xfId="2" applyNumberFormat="1" applyFont="1" applyFill="1" applyBorder="1" applyAlignment="1">
      <alignment vertical="top"/>
    </xf>
    <xf numFmtId="2" fontId="26" fillId="2" borderId="36" xfId="2" applyNumberFormat="1" applyFont="1" applyFill="1" applyBorder="1" applyAlignment="1">
      <alignment vertical="top"/>
    </xf>
    <xf numFmtId="179" fontId="26" fillId="2" borderId="0" xfId="2" applyNumberFormat="1" applyFont="1" applyFill="1" applyAlignment="1">
      <alignment horizontal="right" vertical="top"/>
    </xf>
    <xf numFmtId="2" fontId="26" fillId="2" borderId="38" xfId="2" applyNumberFormat="1" applyFont="1" applyFill="1" applyBorder="1" applyAlignment="1">
      <alignment vertical="top"/>
    </xf>
    <xf numFmtId="179" fontId="26" fillId="2" borderId="23" xfId="2" applyNumberFormat="1" applyFont="1" applyFill="1" applyBorder="1" applyAlignment="1">
      <alignment horizontal="right" vertical="top"/>
    </xf>
    <xf numFmtId="3" fontId="28" fillId="2" borderId="18" xfId="2" applyNumberFormat="1" applyFont="1" applyFill="1" applyBorder="1" applyAlignment="1">
      <alignment vertical="top"/>
    </xf>
    <xf numFmtId="3" fontId="28" fillId="2" borderId="17" xfId="2" applyNumberFormat="1" applyFont="1" applyFill="1" applyBorder="1" applyAlignment="1">
      <alignment vertical="top"/>
    </xf>
    <xf numFmtId="3" fontId="28" fillId="2" borderId="36" xfId="2" applyNumberFormat="1" applyFont="1" applyFill="1" applyBorder="1" applyAlignment="1">
      <alignment vertical="top"/>
    </xf>
    <xf numFmtId="3" fontId="28" fillId="2" borderId="0" xfId="2" applyNumberFormat="1" applyFont="1" applyFill="1" applyAlignment="1">
      <alignment vertical="top"/>
    </xf>
    <xf numFmtId="0" fontId="38" fillId="2" borderId="0" xfId="2" applyFont="1" applyFill="1" applyAlignment="1">
      <alignment vertical="top"/>
    </xf>
    <xf numFmtId="0" fontId="39" fillId="2" borderId="0" xfId="2" applyFont="1" applyFill="1" applyAlignment="1">
      <alignment vertical="top"/>
    </xf>
    <xf numFmtId="0" fontId="24" fillId="0" borderId="0" xfId="0" applyFont="1"/>
    <xf numFmtId="0" fontId="18" fillId="0" borderId="44" xfId="0" applyFont="1" applyBorder="1" applyAlignment="1">
      <alignment horizontal="center"/>
    </xf>
    <xf numFmtId="0" fontId="18" fillId="0" borderId="7" xfId="0" applyFont="1" applyBorder="1" applyAlignment="1">
      <alignment horizontal="center"/>
    </xf>
    <xf numFmtId="0" fontId="18" fillId="0" borderId="21" xfId="0" applyFont="1" applyBorder="1" applyAlignment="1">
      <alignment horizontal="center"/>
    </xf>
    <xf numFmtId="166" fontId="0" fillId="0" borderId="0" xfId="5" applyFont="1"/>
    <xf numFmtId="0" fontId="40" fillId="0" borderId="45" xfId="0" applyFont="1" applyBorder="1"/>
    <xf numFmtId="166" fontId="40" fillId="0" borderId="45" xfId="5" applyFont="1" applyBorder="1"/>
    <xf numFmtId="0" fontId="40" fillId="0" borderId="11" xfId="0" applyFont="1" applyBorder="1"/>
    <xf numFmtId="0" fontId="40" fillId="0" borderId="11" xfId="0" applyFont="1" applyBorder="1" applyAlignment="1">
      <alignment wrapText="1"/>
    </xf>
    <xf numFmtId="0" fontId="0" fillId="0" borderId="0" xfId="0" applyProtection="1">
      <protection hidden="1"/>
    </xf>
    <xf numFmtId="0" fontId="43" fillId="5" borderId="11" xfId="0" applyFont="1" applyFill="1" applyBorder="1" applyAlignment="1" applyProtection="1">
      <alignment horizontal="center"/>
      <protection hidden="1"/>
    </xf>
    <xf numFmtId="0" fontId="17" fillId="0" borderId="52" xfId="0" applyFont="1" applyBorder="1" applyAlignment="1">
      <alignment horizontal="center"/>
    </xf>
    <xf numFmtId="164" fontId="17" fillId="0" borderId="44" xfId="0" applyNumberFormat="1" applyFont="1" applyBorder="1" applyAlignment="1">
      <alignment horizontal="center"/>
    </xf>
    <xf numFmtId="167" fontId="3" fillId="2" borderId="6" xfId="4" applyFont="1" applyFill="1" applyBorder="1" applyAlignment="1">
      <alignment horizontal="center"/>
    </xf>
    <xf numFmtId="165" fontId="3" fillId="2" borderId="6" xfId="4" applyNumberFormat="1" applyFont="1" applyFill="1" applyBorder="1" applyAlignment="1">
      <alignment horizontal="center"/>
    </xf>
    <xf numFmtId="165" fontId="9" fillId="2" borderId="6" xfId="4" applyNumberFormat="1" applyFont="1" applyFill="1" applyBorder="1" applyAlignment="1">
      <alignment horizontal="center"/>
    </xf>
    <xf numFmtId="167" fontId="9" fillId="2" borderId="6" xfId="4" applyFont="1" applyFill="1" applyBorder="1" applyAlignment="1">
      <alignment horizontal="center"/>
    </xf>
    <xf numFmtId="168" fontId="3" fillId="2" borderId="0" xfId="4" applyNumberFormat="1" applyFont="1" applyFill="1"/>
    <xf numFmtId="0" fontId="14" fillId="3" borderId="3" xfId="0" applyFont="1" applyFill="1" applyBorder="1" applyAlignment="1">
      <alignment horizontal="center"/>
    </xf>
    <xf numFmtId="0" fontId="14" fillId="3" borderId="2" xfId="0" applyFont="1" applyFill="1" applyBorder="1" applyAlignment="1">
      <alignment horizontal="center"/>
    </xf>
    <xf numFmtId="168" fontId="9" fillId="2" borderId="6" xfId="4" applyNumberFormat="1" applyFont="1" applyFill="1" applyBorder="1" applyAlignment="1">
      <alignment horizontal="center"/>
    </xf>
    <xf numFmtId="168" fontId="3" fillId="2" borderId="6" xfId="4" applyNumberFormat="1" applyFont="1" applyFill="1" applyBorder="1" applyAlignment="1">
      <alignment horizontal="center"/>
    </xf>
    <xf numFmtId="167" fontId="3" fillId="2" borderId="0" xfId="0" applyNumberFormat="1" applyFont="1" applyFill="1"/>
    <xf numFmtId="168" fontId="3" fillId="2" borderId="7" xfId="4" applyNumberFormat="1" applyFont="1" applyFill="1" applyBorder="1" applyAlignment="1">
      <alignment horizontal="center"/>
    </xf>
    <xf numFmtId="168" fontId="3" fillId="2" borderId="4" xfId="4" applyNumberFormat="1" applyFont="1" applyFill="1" applyBorder="1" applyAlignment="1">
      <alignment horizontal="center"/>
    </xf>
    <xf numFmtId="0" fontId="17" fillId="0" borderId="21" xfId="0" applyFont="1" applyBorder="1" applyAlignment="1">
      <alignment horizontal="center"/>
    </xf>
    <xf numFmtId="0" fontId="17" fillId="0" borderId="11" xfId="0" applyFont="1" applyBorder="1"/>
    <xf numFmtId="0" fontId="17" fillId="0" borderId="11" xfId="0" applyFont="1" applyBorder="1" applyAlignment="1">
      <alignment horizontal="right"/>
    </xf>
    <xf numFmtId="0" fontId="44" fillId="0" borderId="0" xfId="0" applyFont="1"/>
    <xf numFmtId="0" fontId="40" fillId="0" borderId="13" xfId="0" applyFont="1" applyBorder="1" applyAlignment="1">
      <alignment wrapText="1"/>
    </xf>
    <xf numFmtId="0" fontId="40" fillId="0" borderId="0" xfId="0" applyFont="1" applyAlignment="1">
      <alignment wrapText="1"/>
    </xf>
    <xf numFmtId="166" fontId="40" fillId="0" borderId="0" xfId="5" applyFont="1" applyBorder="1"/>
    <xf numFmtId="0" fontId="17" fillId="6" borderId="11" xfId="0" applyFont="1" applyFill="1" applyBorder="1" applyAlignment="1">
      <alignment horizontal="right"/>
    </xf>
    <xf numFmtId="0" fontId="40" fillId="0" borderId="0" xfId="0" applyFont="1"/>
    <xf numFmtId="0" fontId="0" fillId="0" borderId="11" xfId="0" applyBorder="1" applyAlignment="1">
      <alignment horizontal="center"/>
    </xf>
    <xf numFmtId="180" fontId="46" fillId="0" borderId="11" xfId="0" applyNumberFormat="1" applyFont="1" applyBorder="1" applyProtection="1">
      <protection hidden="1"/>
    </xf>
    <xf numFmtId="0" fontId="15" fillId="0" borderId="0" xfId="0" applyFont="1"/>
    <xf numFmtId="166" fontId="15" fillId="0" borderId="0" xfId="5" applyFont="1"/>
    <xf numFmtId="0" fontId="40" fillId="0" borderId="11" xfId="0" applyFont="1" applyBorder="1" applyAlignment="1">
      <alignment horizontal="center"/>
    </xf>
    <xf numFmtId="0" fontId="0" fillId="0" borderId="0" xfId="0" applyAlignment="1">
      <alignment horizontal="center"/>
    </xf>
    <xf numFmtId="166" fontId="0" fillId="0" borderId="0" xfId="5" applyFont="1" applyAlignment="1">
      <alignment horizontal="center"/>
    </xf>
    <xf numFmtId="44" fontId="15" fillId="0" borderId="0" xfId="0" applyNumberFormat="1" applyFont="1"/>
    <xf numFmtId="0" fontId="19" fillId="0" borderId="0" xfId="2"/>
    <xf numFmtId="0" fontId="49" fillId="0" borderId="0" xfId="2" applyFont="1"/>
    <xf numFmtId="166" fontId="19" fillId="9" borderId="0" xfId="8" applyFont="1" applyFill="1" applyProtection="1">
      <protection locked="0"/>
    </xf>
    <xf numFmtId="14" fontId="19" fillId="9" borderId="0" xfId="2" applyNumberFormat="1" applyFill="1" applyProtection="1">
      <protection locked="0"/>
    </xf>
    <xf numFmtId="0" fontId="19" fillId="9" borderId="0" xfId="2" applyFill="1" applyAlignment="1" applyProtection="1">
      <alignment horizontal="center"/>
      <protection locked="0"/>
    </xf>
    <xf numFmtId="181" fontId="19" fillId="0" borderId="0" xfId="2" applyNumberFormat="1"/>
    <xf numFmtId="0" fontId="54" fillId="0" borderId="0" xfId="2" applyFont="1"/>
    <xf numFmtId="0" fontId="55" fillId="0" borderId="0" xfId="2" applyFont="1"/>
    <xf numFmtId="0" fontId="52" fillId="0" borderId="0" xfId="2" applyFont="1"/>
    <xf numFmtId="0" fontId="19" fillId="0" borderId="0" xfId="2" applyAlignment="1">
      <alignment horizontal="left"/>
    </xf>
    <xf numFmtId="0" fontId="19" fillId="10" borderId="0" xfId="2" applyFill="1"/>
    <xf numFmtId="0" fontId="19" fillId="9" borderId="0" xfId="2" applyFill="1" applyAlignment="1" applyProtection="1">
      <alignment horizontal="right"/>
      <protection locked="0"/>
    </xf>
    <xf numFmtId="44" fontId="0" fillId="0" borderId="0" xfId="0" applyNumberFormat="1"/>
    <xf numFmtId="0" fontId="52" fillId="10" borderId="0" xfId="2" applyFont="1" applyFill="1" applyAlignment="1">
      <alignment horizontal="center"/>
    </xf>
    <xf numFmtId="0" fontId="52" fillId="10" borderId="0" xfId="2" applyFont="1" applyFill="1"/>
    <xf numFmtId="0" fontId="52" fillId="10" borderId="0" xfId="2" applyFont="1" applyFill="1" applyAlignment="1">
      <alignment horizontal="center" wrapText="1"/>
    </xf>
    <xf numFmtId="0" fontId="55" fillId="10" borderId="0" xfId="2" applyFont="1" applyFill="1"/>
    <xf numFmtId="1" fontId="19" fillId="0" borderId="0" xfId="2" applyNumberFormat="1"/>
    <xf numFmtId="183" fontId="52" fillId="0" borderId="0" xfId="8" applyNumberFormat="1" applyFont="1" applyAlignment="1"/>
    <xf numFmtId="183" fontId="19" fillId="0" borderId="0" xfId="2" applyNumberFormat="1" applyAlignment="1">
      <alignment vertical="top" wrapText="1"/>
    </xf>
    <xf numFmtId="0" fontId="52" fillId="10" borderId="11" xfId="2" applyFont="1" applyFill="1" applyBorder="1"/>
    <xf numFmtId="0" fontId="52" fillId="10" borderId="0" xfId="2" applyFont="1" applyFill="1" applyAlignment="1">
      <alignment horizontal="left"/>
    </xf>
    <xf numFmtId="9" fontId="52" fillId="0" borderId="0" xfId="6" applyFont="1" applyAlignment="1"/>
    <xf numFmtId="0" fontId="52" fillId="9" borderId="0" xfId="2" applyFont="1" applyFill="1" applyAlignment="1" applyProtection="1">
      <alignment horizontal="center"/>
      <protection locked="0"/>
    </xf>
    <xf numFmtId="0" fontId="52" fillId="0" borderId="0" xfId="2" applyFont="1" applyAlignment="1">
      <alignment horizontal="center"/>
    </xf>
    <xf numFmtId="0" fontId="51" fillId="8" borderId="11" xfId="2" applyFont="1" applyFill="1" applyBorder="1"/>
    <xf numFmtId="0" fontId="19" fillId="0" borderId="11" xfId="2" applyBorder="1"/>
    <xf numFmtId="14" fontId="19" fillId="0" borderId="11" xfId="2" applyNumberFormat="1" applyBorder="1"/>
    <xf numFmtId="0" fontId="19" fillId="0" borderId="11" xfId="2" applyBorder="1" applyAlignment="1">
      <alignment horizontal="right"/>
    </xf>
    <xf numFmtId="9" fontId="19" fillId="0" borderId="11" xfId="2" applyNumberFormat="1" applyBorder="1"/>
    <xf numFmtId="2" fontId="19" fillId="0" borderId="0" xfId="2" applyNumberFormat="1"/>
    <xf numFmtId="44" fontId="19" fillId="0" borderId="0" xfId="2" applyNumberFormat="1"/>
    <xf numFmtId="9" fontId="19" fillId="0" borderId="0" xfId="2" applyNumberFormat="1"/>
    <xf numFmtId="0" fontId="19" fillId="0" borderId="0" xfId="2" applyAlignment="1">
      <alignment horizontal="center"/>
    </xf>
    <xf numFmtId="0" fontId="19" fillId="2" borderId="0" xfId="2" applyFill="1" applyAlignment="1">
      <alignment horizontal="center"/>
    </xf>
    <xf numFmtId="0" fontId="53" fillId="0" borderId="0" xfId="2" applyFont="1" applyAlignment="1">
      <alignment horizontal="left" vertical="top" wrapText="1"/>
    </xf>
    <xf numFmtId="9" fontId="19" fillId="0" borderId="0" xfId="6" applyFont="1" applyProtection="1"/>
    <xf numFmtId="0" fontId="19" fillId="10" borderId="23" xfId="2" applyFill="1" applyBorder="1"/>
    <xf numFmtId="0" fontId="54" fillId="10" borderId="23" xfId="2" applyFont="1" applyFill="1" applyBorder="1"/>
    <xf numFmtId="1" fontId="19" fillId="2" borderId="0" xfId="2" applyNumberFormat="1" applyFill="1"/>
    <xf numFmtId="0" fontId="52" fillId="7" borderId="0" xfId="0" applyFont="1" applyFill="1" applyAlignment="1" applyProtection="1">
      <alignment horizontal="left"/>
      <protection locked="0"/>
    </xf>
    <xf numFmtId="0" fontId="56" fillId="7" borderId="0" xfId="7" applyFont="1" applyFill="1" applyAlignment="1" applyProtection="1">
      <alignment horizontal="left"/>
      <protection locked="0"/>
    </xf>
    <xf numFmtId="14" fontId="19" fillId="9" borderId="0" xfId="2" applyNumberFormat="1" applyFill="1" applyAlignment="1" applyProtection="1">
      <alignment horizontal="right"/>
      <protection locked="0"/>
    </xf>
    <xf numFmtId="183" fontId="19" fillId="0" borderId="0" xfId="2" applyNumberFormat="1"/>
    <xf numFmtId="166" fontId="19" fillId="0" borderId="0" xfId="5" applyFont="1"/>
    <xf numFmtId="9" fontId="55" fillId="0" borderId="0" xfId="2" applyNumberFormat="1" applyFont="1"/>
    <xf numFmtId="0" fontId="18" fillId="0" borderId="2" xfId="0" applyFont="1" applyBorder="1" applyAlignment="1">
      <alignment horizontal="center" wrapText="1"/>
    </xf>
    <xf numFmtId="0" fontId="18" fillId="0" borderId="6" xfId="0" applyFont="1" applyBorder="1" applyAlignment="1">
      <alignment horizontal="center" wrapText="1"/>
    </xf>
    <xf numFmtId="0" fontId="18" fillId="0" borderId="8" xfId="0" applyFont="1" applyBorder="1" applyAlignment="1">
      <alignment horizontal="center"/>
    </xf>
    <xf numFmtId="0" fontId="18" fillId="0" borderId="10" xfId="0" applyFont="1" applyBorder="1" applyAlignment="1">
      <alignment horizontal="center"/>
    </xf>
    <xf numFmtId="0" fontId="18" fillId="0" borderId="22" xfId="0" applyFont="1" applyBorder="1" applyAlignment="1">
      <alignment horizontal="center"/>
    </xf>
    <xf numFmtId="0" fontId="18" fillId="0" borderId="5" xfId="0" applyFont="1" applyBorder="1" applyAlignment="1">
      <alignment horizontal="center"/>
    </xf>
    <xf numFmtId="0" fontId="18" fillId="0" borderId="43" xfId="0" applyFont="1" applyBorder="1" applyAlignment="1">
      <alignment horizontal="center"/>
    </xf>
    <xf numFmtId="0" fontId="18" fillId="0" borderId="53"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41" fillId="0" borderId="0" xfId="0" applyFont="1" applyAlignment="1">
      <alignment horizontal="center"/>
    </xf>
    <xf numFmtId="0" fontId="23" fillId="0" borderId="0" xfId="0" applyFont="1" applyAlignment="1">
      <alignment horizontal="center"/>
    </xf>
    <xf numFmtId="0" fontId="49" fillId="0" borderId="0" xfId="2" applyFont="1" applyAlignment="1">
      <alignment horizontal="center"/>
    </xf>
    <xf numFmtId="0" fontId="52" fillId="0" borderId="0" xfId="2" applyFont="1" applyAlignment="1">
      <alignment horizontal="center"/>
    </xf>
    <xf numFmtId="0" fontId="19" fillId="0" borderId="0" xfId="2" applyAlignment="1">
      <alignment horizontal="center"/>
    </xf>
    <xf numFmtId="0" fontId="51" fillId="8" borderId="11" xfId="2" applyFont="1" applyFill="1" applyBorder="1" applyAlignment="1">
      <alignment horizontal="center"/>
    </xf>
    <xf numFmtId="0" fontId="53" fillId="0" borderId="0" xfId="2" applyFont="1" applyAlignment="1">
      <alignment horizontal="left" vertical="top" wrapText="1"/>
    </xf>
    <xf numFmtId="0" fontId="52" fillId="9" borderId="0" xfId="2" applyFont="1" applyFill="1" applyAlignment="1" applyProtection="1">
      <alignment horizontal="center"/>
      <protection locked="0"/>
    </xf>
    <xf numFmtId="0" fontId="51" fillId="8" borderId="17" xfId="2" applyFont="1" applyFill="1" applyBorder="1" applyAlignment="1">
      <alignment horizontal="center"/>
    </xf>
    <xf numFmtId="0" fontId="51" fillId="8" borderId="0" xfId="2" applyFont="1" applyFill="1" applyAlignment="1">
      <alignment horizontal="center"/>
    </xf>
    <xf numFmtId="0" fontId="19" fillId="0" borderId="0" xfId="2" applyAlignment="1">
      <alignment horizontal="left" wrapText="1"/>
    </xf>
    <xf numFmtId="183" fontId="52" fillId="0" borderId="0" xfId="8" applyNumberFormat="1" applyFont="1" applyAlignment="1">
      <alignment horizontal="center"/>
    </xf>
    <xf numFmtId="0" fontId="19" fillId="0" borderId="0" xfId="2" applyAlignment="1">
      <alignment horizontal="left"/>
    </xf>
    <xf numFmtId="9" fontId="52" fillId="0" borderId="0" xfId="6" applyFont="1" applyAlignment="1">
      <alignment horizontal="center"/>
    </xf>
    <xf numFmtId="0" fontId="19" fillId="10" borderId="34" xfId="0" applyFont="1" applyFill="1" applyBorder="1" applyAlignment="1">
      <alignment horizontal="center" vertical="center"/>
    </xf>
    <xf numFmtId="183" fontId="52" fillId="0" borderId="0" xfId="8" applyNumberFormat="1" applyFont="1" applyFill="1" applyAlignment="1">
      <alignment horizontal="center"/>
    </xf>
    <xf numFmtId="0" fontId="19" fillId="10" borderId="0" xfId="2" applyFill="1" applyAlignment="1">
      <alignment horizontal="center"/>
    </xf>
    <xf numFmtId="0" fontId="52" fillId="10" borderId="0" xfId="2" applyFont="1" applyFill="1" applyAlignment="1">
      <alignment horizontal="center"/>
    </xf>
    <xf numFmtId="0" fontId="52" fillId="10" borderId="36" xfId="2" applyFont="1" applyFill="1" applyBorder="1" applyAlignment="1">
      <alignment horizontal="center"/>
    </xf>
    <xf numFmtId="0" fontId="52" fillId="10" borderId="17" xfId="2" applyFont="1" applyFill="1" applyBorder="1" applyAlignment="1">
      <alignment horizontal="center"/>
    </xf>
    <xf numFmtId="0" fontId="52" fillId="0" borderId="0" xfId="2" applyFont="1" applyAlignment="1">
      <alignment horizontal="left" wrapText="1"/>
    </xf>
    <xf numFmtId="0" fontId="55" fillId="10" borderId="0" xfId="2" applyFont="1" applyFill="1" applyAlignment="1">
      <alignment horizontal="center"/>
    </xf>
    <xf numFmtId="182" fontId="19" fillId="0" borderId="0" xfId="2" applyNumberFormat="1" applyAlignment="1">
      <alignment horizontal="right"/>
    </xf>
    <xf numFmtId="0" fontId="52" fillId="10" borderId="0" xfId="2" applyFont="1" applyFill="1" applyAlignment="1">
      <alignment horizontal="center" wrapText="1"/>
    </xf>
    <xf numFmtId="0" fontId="19" fillId="0" borderId="0" xfId="2" applyAlignment="1">
      <alignment horizontal="left" vertical="top"/>
    </xf>
    <xf numFmtId="183" fontId="19" fillId="0" borderId="0" xfId="2" applyNumberFormat="1" applyAlignment="1">
      <alignment horizontal="center"/>
    </xf>
    <xf numFmtId="14" fontId="19" fillId="0" borderId="0" xfId="2" applyNumberFormat="1" applyAlignment="1">
      <alignment horizontal="center"/>
    </xf>
    <xf numFmtId="0" fontId="19" fillId="0" borderId="0" xfId="2" applyAlignment="1">
      <alignment horizontal="center" vertical="top" wrapText="1"/>
    </xf>
    <xf numFmtId="0" fontId="52" fillId="10" borderId="0" xfId="2" applyFont="1" applyFill="1" applyAlignment="1">
      <alignment horizontal="left"/>
    </xf>
    <xf numFmtId="183" fontId="55" fillId="10" borderId="0" xfId="8" applyNumberFormat="1" applyFont="1" applyFill="1" applyAlignment="1">
      <alignment horizontal="center"/>
    </xf>
    <xf numFmtId="0" fontId="40" fillId="0" borderId="0" xfId="0" applyFont="1" applyAlignment="1" applyProtection="1">
      <alignment horizontal="center"/>
      <protection hidden="1"/>
    </xf>
    <xf numFmtId="0" fontId="42" fillId="4" borderId="46" xfId="3" applyFont="1" applyBorder="1" applyAlignment="1" applyProtection="1">
      <alignment horizontal="center" vertical="center"/>
      <protection hidden="1"/>
    </xf>
    <xf numFmtId="0" fontId="42" fillId="4" borderId="0" xfId="3" applyFont="1" applyBorder="1" applyAlignment="1" applyProtection="1">
      <alignment horizontal="center" vertical="center"/>
      <protection hidden="1"/>
    </xf>
    <xf numFmtId="0" fontId="42" fillId="4" borderId="47" xfId="3" applyFont="1" applyBorder="1" applyProtection="1">
      <alignment horizontal="center" vertical="center" wrapText="1"/>
      <protection hidden="1"/>
    </xf>
    <xf numFmtId="0" fontId="42" fillId="4" borderId="50" xfId="3" applyFont="1" applyBorder="1" applyProtection="1">
      <alignment horizontal="center" vertical="center" wrapText="1"/>
      <protection hidden="1"/>
    </xf>
    <xf numFmtId="0" fontId="42" fillId="4" borderId="51" xfId="3" applyFont="1" applyBorder="1" applyProtection="1">
      <alignment horizontal="center" vertical="center" wrapText="1"/>
      <protection hidden="1"/>
    </xf>
    <xf numFmtId="0" fontId="42" fillId="4" borderId="48" xfId="3" applyFont="1" applyBorder="1" applyProtection="1">
      <alignment horizontal="center" vertical="center" wrapText="1"/>
      <protection hidden="1"/>
    </xf>
    <xf numFmtId="0" fontId="42" fillId="4" borderId="49" xfId="3" applyFont="1" applyBorder="1" applyProtection="1">
      <alignment horizontal="center" vertical="center" wrapText="1"/>
      <protection hidden="1"/>
    </xf>
    <xf numFmtId="0" fontId="42" fillId="4" borderId="47" xfId="3" quotePrefix="1" applyFont="1" applyBorder="1" applyProtection="1">
      <alignment horizontal="center" vertical="center" wrapText="1"/>
      <protection hidden="1"/>
    </xf>
    <xf numFmtId="0" fontId="42" fillId="4" borderId="51" xfId="3" quotePrefix="1" applyFont="1" applyBorder="1" applyProtection="1">
      <alignment horizontal="center" vertical="center" wrapText="1"/>
      <protection hidden="1"/>
    </xf>
    <xf numFmtId="166" fontId="45" fillId="4" borderId="47" xfId="5" applyFont="1" applyFill="1" applyBorder="1" applyAlignment="1" applyProtection="1">
      <alignment horizontal="center" vertical="center" wrapText="1"/>
      <protection hidden="1"/>
    </xf>
    <xf numFmtId="166" fontId="45" fillId="4" borderId="51" xfId="5" applyFont="1" applyFill="1" applyBorder="1" applyAlignment="1" applyProtection="1">
      <alignment horizontal="center" vertical="center" wrapText="1"/>
      <protection hidden="1"/>
    </xf>
    <xf numFmtId="166" fontId="45" fillId="4" borderId="47" xfId="5" quotePrefix="1" applyFont="1" applyFill="1" applyBorder="1" applyAlignment="1" applyProtection="1">
      <alignment horizontal="center" vertical="center" wrapText="1"/>
      <protection hidden="1"/>
    </xf>
    <xf numFmtId="166" fontId="45" fillId="4" borderId="51" xfId="5" quotePrefix="1" applyFont="1" applyFill="1" applyBorder="1" applyAlignment="1" applyProtection="1">
      <alignment horizontal="center" vertical="center" wrapText="1"/>
      <protection hidden="1"/>
    </xf>
    <xf numFmtId="0" fontId="7"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0" fontId="14" fillId="3"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4" fillId="3" borderId="3"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8" xfId="0" applyFont="1" applyFill="1" applyBorder="1" applyAlignment="1">
      <alignment horizontal="center"/>
    </xf>
    <xf numFmtId="0" fontId="14" fillId="3" borderId="10" xfId="0" applyFont="1" applyFill="1" applyBorder="1" applyAlignment="1">
      <alignment horizontal="center"/>
    </xf>
    <xf numFmtId="0" fontId="14" fillId="3" borderId="9" xfId="0" applyFont="1" applyFill="1" applyBorder="1" applyAlignment="1">
      <alignment horizontal="center"/>
    </xf>
    <xf numFmtId="0" fontId="14" fillId="3" borderId="8" xfId="0" applyFont="1" applyFill="1" applyBorder="1" applyAlignment="1">
      <alignment horizontal="center" wrapText="1"/>
    </xf>
    <xf numFmtId="0" fontId="12" fillId="3" borderId="10" xfId="0" applyFont="1" applyFill="1" applyBorder="1" applyAlignment="1">
      <alignment horizontal="center" wrapText="1"/>
    </xf>
    <xf numFmtId="0" fontId="12" fillId="3" borderId="9" xfId="0" applyFont="1" applyFill="1" applyBorder="1" applyAlignment="1">
      <alignment horizont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38" fillId="2" borderId="0" xfId="2" applyFont="1" applyFill="1" applyAlignment="1">
      <alignment horizontal="justify" vertical="top"/>
    </xf>
    <xf numFmtId="0" fontId="38" fillId="2" borderId="0" xfId="2" applyFont="1" applyFill="1" applyAlignment="1">
      <alignment horizontal="left" vertical="top" wrapText="1"/>
    </xf>
    <xf numFmtId="0" fontId="24" fillId="0" borderId="0" xfId="2" applyFont="1" applyAlignment="1">
      <alignment horizontal="justify" wrapText="1"/>
    </xf>
    <xf numFmtId="0" fontId="38" fillId="2" borderId="0" xfId="2" applyFont="1" applyFill="1" applyAlignment="1">
      <alignment horizontal="left" vertical="top"/>
    </xf>
    <xf numFmtId="0" fontId="38" fillId="2" borderId="0" xfId="2" applyFont="1" applyFill="1" applyAlignment="1">
      <alignment horizontal="justify" vertical="top" wrapText="1"/>
    </xf>
    <xf numFmtId="0" fontId="23" fillId="2" borderId="16" xfId="2" applyFont="1" applyFill="1" applyBorder="1" applyAlignment="1">
      <alignment horizontal="right" vertical="top" wrapText="1"/>
    </xf>
    <xf numFmtId="0" fontId="24" fillId="2" borderId="18" xfId="2" applyFont="1" applyFill="1" applyBorder="1" applyAlignment="1">
      <alignment horizontal="right" vertical="top" wrapText="1"/>
    </xf>
    <xf numFmtId="0" fontId="24" fillId="2" borderId="20" xfId="2" applyFont="1" applyFill="1" applyBorder="1" applyAlignment="1">
      <alignment horizontal="right" vertical="top" wrapText="1"/>
    </xf>
    <xf numFmtId="0" fontId="23" fillId="2" borderId="20" xfId="2" applyFont="1" applyFill="1" applyBorder="1" applyAlignment="1">
      <alignment horizontal="right" vertical="top" wrapText="1"/>
    </xf>
    <xf numFmtId="0" fontId="23" fillId="2" borderId="12" xfId="2" applyFont="1" applyFill="1" applyBorder="1" applyAlignment="1">
      <alignment horizontal="left" vertical="top" wrapText="1"/>
    </xf>
    <xf numFmtId="0" fontId="23" fillId="2" borderId="19" xfId="2" applyFont="1" applyFill="1" applyBorder="1" applyAlignment="1">
      <alignment horizontal="left" vertical="top" wrapText="1"/>
    </xf>
    <xf numFmtId="0" fontId="23" fillId="2" borderId="18" xfId="2" applyFont="1" applyFill="1" applyBorder="1" applyAlignment="1">
      <alignment horizontal="right" vertical="top" wrapText="1"/>
    </xf>
    <xf numFmtId="0" fontId="23" fillId="2" borderId="17" xfId="2" applyFont="1" applyFill="1" applyBorder="1" applyAlignment="1">
      <alignment horizontal="left" vertical="top" wrapText="1"/>
    </xf>
    <xf numFmtId="0" fontId="23" fillId="2" borderId="16" xfId="2" applyFont="1" applyFill="1" applyBorder="1" applyAlignment="1">
      <alignment horizontal="center" vertical="top" wrapText="1"/>
    </xf>
    <xf numFmtId="0" fontId="24" fillId="2" borderId="18" xfId="2" applyFont="1" applyFill="1" applyBorder="1" applyAlignment="1">
      <alignment horizontal="center" vertical="top" wrapText="1"/>
    </xf>
    <xf numFmtId="0" fontId="23" fillId="2" borderId="16" xfId="2" applyFont="1" applyFill="1" applyBorder="1" applyAlignment="1">
      <alignment horizontal="center" vertical="top"/>
    </xf>
    <xf numFmtId="0" fontId="23" fillId="2" borderId="18" xfId="2" applyFont="1" applyFill="1" applyBorder="1" applyAlignment="1">
      <alignment horizontal="center" vertical="top"/>
    </xf>
    <xf numFmtId="0" fontId="23" fillId="2" borderId="18" xfId="2" applyFont="1" applyFill="1" applyBorder="1" applyAlignment="1">
      <alignment horizontal="center" vertical="top" wrapText="1"/>
    </xf>
    <xf numFmtId="0" fontId="23" fillId="2" borderId="20" xfId="2" applyFont="1" applyFill="1" applyBorder="1" applyAlignment="1">
      <alignment horizontal="center" vertical="top" wrapText="1"/>
    </xf>
    <xf numFmtId="0" fontId="23" fillId="2" borderId="16" xfId="2" applyFont="1" applyFill="1" applyBorder="1" applyAlignment="1">
      <alignment horizontal="right" vertical="top"/>
    </xf>
    <xf numFmtId="0" fontId="23" fillId="2" borderId="18" xfId="2" applyFont="1" applyFill="1" applyBorder="1" applyAlignment="1">
      <alignment horizontal="right" vertical="top"/>
    </xf>
    <xf numFmtId="0" fontId="23" fillId="2" borderId="20" xfId="2" applyFont="1" applyFill="1" applyBorder="1" applyAlignment="1">
      <alignment horizontal="right" vertical="top"/>
    </xf>
    <xf numFmtId="0" fontId="5" fillId="0" borderId="0" xfId="2" applyFont="1" applyAlignment="1">
      <alignment horizontal="center"/>
    </xf>
    <xf numFmtId="0" fontId="6" fillId="0" borderId="0" xfId="2" applyFont="1" applyAlignment="1">
      <alignment horizontal="center" vertical="top"/>
    </xf>
    <xf numFmtId="0" fontId="2" fillId="4" borderId="24" xfId="3">
      <alignment horizontal="center" vertical="center" wrapText="1"/>
    </xf>
    <xf numFmtId="0" fontId="2" fillId="4" borderId="25" xfId="3" applyBorder="1">
      <alignment horizontal="center" vertical="center" wrapText="1"/>
    </xf>
    <xf numFmtId="17" fontId="2" fillId="4" borderId="41" xfId="3" applyNumberFormat="1" applyBorder="1">
      <alignment horizontal="center" vertical="center" wrapText="1"/>
    </xf>
    <xf numFmtId="17" fontId="2" fillId="4" borderId="42" xfId="3" applyNumberFormat="1" applyBorder="1">
      <alignment horizontal="center" vertical="center" wrapText="1"/>
    </xf>
    <xf numFmtId="17" fontId="2" fillId="4" borderId="26" xfId="3" applyNumberFormat="1" applyBorder="1">
      <alignment horizontal="center" vertical="center" wrapText="1"/>
    </xf>
    <xf numFmtId="17" fontId="2" fillId="4" borderId="27" xfId="3" applyNumberFormat="1" applyBorder="1">
      <alignment horizontal="center" vertical="center" wrapText="1"/>
    </xf>
    <xf numFmtId="17" fontId="2" fillId="4" borderId="29" xfId="3" applyNumberFormat="1" applyBorder="1">
      <alignment horizontal="center" vertical="center" wrapText="1"/>
    </xf>
    <xf numFmtId="17" fontId="2" fillId="4" borderId="30" xfId="3" applyNumberFormat="1" applyBorder="1">
      <alignment horizontal="center" vertical="center" wrapText="1"/>
    </xf>
    <xf numFmtId="0" fontId="2" fillId="4" borderId="28" xfId="3" applyBorder="1">
      <alignment horizontal="center" vertical="center" wrapText="1"/>
    </xf>
    <xf numFmtId="0" fontId="33" fillId="2" borderId="0" xfId="2" applyFont="1" applyFill="1" applyAlignment="1">
      <alignment horizontal="left" vertical="top" wrapText="1"/>
    </xf>
    <xf numFmtId="0" fontId="33" fillId="2" borderId="0" xfId="2" applyFont="1" applyFill="1" applyAlignment="1">
      <alignment horizontal="justify" vertical="top" wrapText="1"/>
    </xf>
    <xf numFmtId="0" fontId="33" fillId="2" borderId="0" xfId="2" applyFont="1" applyFill="1" applyAlignment="1">
      <alignment horizontal="justify" vertical="top"/>
    </xf>
    <xf numFmtId="0" fontId="33" fillId="0" borderId="0" xfId="2" applyFont="1" applyAlignment="1">
      <alignment horizontal="left" vertical="top" wrapText="1"/>
    </xf>
    <xf numFmtId="0" fontId="33" fillId="2" borderId="0" xfId="2" applyFont="1" applyFill="1" applyAlignment="1">
      <alignment horizontal="left" vertical="top"/>
    </xf>
    <xf numFmtId="0" fontId="23" fillId="2" borderId="16" xfId="2" applyFont="1" applyFill="1" applyBorder="1" applyAlignment="1">
      <alignment horizontal="left" vertical="top" wrapText="1"/>
    </xf>
    <xf numFmtId="0" fontId="23" fillId="2" borderId="20" xfId="2" applyFont="1" applyFill="1" applyBorder="1" applyAlignment="1">
      <alignment horizontal="left" vertical="top" wrapText="1"/>
    </xf>
    <xf numFmtId="0" fontId="23" fillId="0" borderId="18" xfId="2" applyFont="1" applyBorder="1" applyAlignment="1">
      <alignment horizontal="right" vertical="top" wrapText="1"/>
    </xf>
    <xf numFmtId="0" fontId="23" fillId="0" borderId="20" xfId="2" applyFont="1" applyBorder="1" applyAlignment="1">
      <alignment horizontal="right" vertical="top" wrapText="1"/>
    </xf>
  </cellXfs>
  <cellStyles count="9">
    <cellStyle name="Cuadros SSF" xfId="3" xr:uid="{00000000-0005-0000-0000-000001000000}"/>
    <cellStyle name="Currency 2" xfId="8" xr:uid="{00000000-0005-0000-0000-000003000000}"/>
    <cellStyle name="Hipervínculo" xfId="7" builtinId="8"/>
    <cellStyle name="Millares" xfId="1" builtinId="3"/>
    <cellStyle name="Millares 2" xfId="4" xr:uid="{00000000-0005-0000-0000-000005000000}"/>
    <cellStyle name="Moneda" xfId="5" builtinId="4"/>
    <cellStyle name="Normal" xfId="0" builtinId="0"/>
    <cellStyle name="Normal 2" xfId="2" xr:uid="{00000000-0005-0000-0000-000007000000}"/>
    <cellStyle name="Porcentaje" xfId="6" builtinId="5"/>
  </cellStyles>
  <dxfs count="12">
    <dxf>
      <fill>
        <patternFill>
          <bgColor theme="0"/>
        </patternFill>
      </fill>
    </dxf>
    <dxf>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1</xdr:row>
      <xdr:rowOff>0</xdr:rowOff>
    </xdr:from>
    <xdr:to>
      <xdr:col>2</xdr:col>
      <xdr:colOff>1628775</xdr:colOff>
      <xdr:row>5</xdr:row>
      <xdr:rowOff>190500</xdr:rowOff>
    </xdr:to>
    <xdr:pic>
      <xdr:nvPicPr>
        <xdr:cNvPr id="5" name="Picture 4" descr="C:\Users\lnoyola\Desktop\Atlántida\2019\LOGOS\Nuevo logo\Logo Atlántida Vida-01.png">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80" b="22561"/>
        <a:stretch/>
      </xdr:blipFill>
      <xdr:spPr bwMode="auto">
        <a:xfrm>
          <a:off x="1123950" y="184150"/>
          <a:ext cx="2416175" cy="9271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590549</xdr:colOff>
      <xdr:row>1</xdr:row>
      <xdr:rowOff>0</xdr:rowOff>
    </xdr:from>
    <xdr:to>
      <xdr:col>3</xdr:col>
      <xdr:colOff>247649</xdr:colOff>
      <xdr:row>5</xdr:row>
      <xdr:rowOff>43985</xdr:rowOff>
    </xdr:to>
    <xdr:pic>
      <xdr:nvPicPr>
        <xdr:cNvPr id="3" name="Picture 2" descr="C:\Users\lnoyola\Desktop\Atlántida\2019\LOGOS\Nuevo logo\Logo Atlántida Vida-01.png">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80" b="22561"/>
        <a:stretch/>
      </xdr:blipFill>
      <xdr:spPr bwMode="auto">
        <a:xfrm>
          <a:off x="1857374" y="161925"/>
          <a:ext cx="1933575" cy="69168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3</xdr:col>
      <xdr:colOff>413808</xdr:colOff>
      <xdr:row>4</xdr:row>
      <xdr:rowOff>15410</xdr:rowOff>
    </xdr:to>
    <xdr:pic>
      <xdr:nvPicPr>
        <xdr:cNvPr id="3" name="Picture 2" descr="C:\Users\lnoyola\Desktop\Atlántida\2019\LOGOS\Nuevo logo\Logo Atlántida Vida-01.png">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80" b="22561"/>
        <a:stretch/>
      </xdr:blipFill>
      <xdr:spPr bwMode="auto">
        <a:xfrm>
          <a:off x="133350" y="0"/>
          <a:ext cx="1933575" cy="69168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134053</xdr:colOff>
      <xdr:row>16</xdr:row>
      <xdr:rowOff>105831</xdr:rowOff>
    </xdr:from>
    <xdr:to>
      <xdr:col>5</xdr:col>
      <xdr:colOff>35275</xdr:colOff>
      <xdr:row>17</xdr:row>
      <xdr:rowOff>232831</xdr:rowOff>
    </xdr:to>
    <xdr:sp macro="" textlink="">
      <xdr:nvSpPr>
        <xdr:cNvPr id="2" name="Rectángulo 1">
          <a:extLst>
            <a:ext uri="{FF2B5EF4-FFF2-40B4-BE49-F238E27FC236}">
              <a16:creationId xmlns:a16="http://schemas.microsoft.com/office/drawing/2014/main" id="{E84F5D0D-D13E-0DCC-B2D6-07B01303A653}"/>
            </a:ext>
          </a:extLst>
        </xdr:cNvPr>
        <xdr:cNvSpPr/>
      </xdr:nvSpPr>
      <xdr:spPr>
        <a:xfrm>
          <a:off x="134053" y="2610553"/>
          <a:ext cx="2631722"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SV" sz="900">
              <a:solidFill>
                <a:sysClr val="windowText" lastClr="000000"/>
              </a:solidFill>
            </a:rPr>
            <a:t>(Sin deducible al usar proveedor</a:t>
          </a:r>
          <a:r>
            <a:rPr lang="es-SV" sz="900" baseline="0">
              <a:solidFill>
                <a:sysClr val="windowText" lastClr="000000"/>
              </a:solidFill>
            </a:rPr>
            <a:t> de Red)</a:t>
          </a:r>
          <a:endParaRPr lang="es-SV" sz="9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762000</xdr:colOff>
      <xdr:row>0</xdr:row>
      <xdr:rowOff>9525</xdr:rowOff>
    </xdr:from>
    <xdr:to>
      <xdr:col>6</xdr:col>
      <xdr:colOff>800100</xdr:colOff>
      <xdr:row>1</xdr:row>
      <xdr:rowOff>685800</xdr:rowOff>
    </xdr:to>
    <xdr:pic>
      <xdr:nvPicPr>
        <xdr:cNvPr id="2" name="0 Imagen" descr="Logo SSF RGB.png">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2625" y="9525"/>
          <a:ext cx="1057275" cy="1066800"/>
        </a:xfrm>
        <a:prstGeom prst="rect">
          <a:avLst/>
        </a:prstGeom>
        <a:noFill/>
        <a:ln w="9525">
          <a:noFill/>
          <a:miter lim="800000"/>
          <a:headEnd/>
          <a:tailEnd/>
        </a:ln>
      </xdr:spPr>
    </xdr:pic>
    <xdr:clientData/>
  </xdr:twoCellAnchor>
  <xdr:twoCellAnchor>
    <xdr:from>
      <xdr:col>5</xdr:col>
      <xdr:colOff>762000</xdr:colOff>
      <xdr:row>0</xdr:row>
      <xdr:rowOff>9525</xdr:rowOff>
    </xdr:from>
    <xdr:to>
      <xdr:col>6</xdr:col>
      <xdr:colOff>800100</xdr:colOff>
      <xdr:row>1</xdr:row>
      <xdr:rowOff>685800</xdr:rowOff>
    </xdr:to>
    <xdr:pic>
      <xdr:nvPicPr>
        <xdr:cNvPr id="3" name="0 Imagen" descr="Logo SSF RGB.png">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2625" y="9525"/>
          <a:ext cx="1057275" cy="1066800"/>
        </a:xfrm>
        <a:prstGeom prst="rect">
          <a:avLst/>
        </a:prstGeom>
        <a:noFill/>
        <a:ln w="9525">
          <a:noFill/>
          <a:miter lim="800000"/>
          <a:headEnd/>
          <a:tailEnd/>
        </a:ln>
      </xdr:spPr>
    </xdr:pic>
    <xdr:clientData/>
  </xdr:twoCellAnchor>
  <xdr:twoCellAnchor>
    <xdr:from>
      <xdr:col>5</xdr:col>
      <xdr:colOff>762000</xdr:colOff>
      <xdr:row>0</xdr:row>
      <xdr:rowOff>9525</xdr:rowOff>
    </xdr:from>
    <xdr:to>
      <xdr:col>6</xdr:col>
      <xdr:colOff>800100</xdr:colOff>
      <xdr:row>1</xdr:row>
      <xdr:rowOff>685800</xdr:rowOff>
    </xdr:to>
    <xdr:pic>
      <xdr:nvPicPr>
        <xdr:cNvPr id="4" name="0 Imagen" descr="Logo SSF RGB.png">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2625" y="9525"/>
          <a:ext cx="1057275" cy="1066800"/>
        </a:xfrm>
        <a:prstGeom prst="rect">
          <a:avLst/>
        </a:prstGeom>
        <a:noFill/>
        <a:ln w="9525">
          <a:noFill/>
          <a:miter lim="800000"/>
          <a:headEnd/>
          <a:tailEnd/>
        </a:ln>
      </xdr:spPr>
    </xdr:pic>
    <xdr:clientData/>
  </xdr:twoCellAnchor>
  <xdr:twoCellAnchor>
    <xdr:from>
      <xdr:col>5</xdr:col>
      <xdr:colOff>762000</xdr:colOff>
      <xdr:row>0</xdr:row>
      <xdr:rowOff>9525</xdr:rowOff>
    </xdr:from>
    <xdr:to>
      <xdr:col>6</xdr:col>
      <xdr:colOff>800100</xdr:colOff>
      <xdr:row>1</xdr:row>
      <xdr:rowOff>685800</xdr:rowOff>
    </xdr:to>
    <xdr:pic>
      <xdr:nvPicPr>
        <xdr:cNvPr id="5" name="0 Imagen" descr="Logo SSF RGB.png">
          <a:extLst>
            <a:ext uri="{FF2B5EF4-FFF2-40B4-BE49-F238E27FC236}">
              <a16:creationId xmlns:a16="http://schemas.microsoft.com/office/drawing/2014/main" id="{00000000-0008-0000-1A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2625" y="9525"/>
          <a:ext cx="1057275" cy="1066800"/>
        </a:xfrm>
        <a:prstGeom prst="rect">
          <a:avLst/>
        </a:prstGeom>
        <a:noFill/>
        <a:ln w="9525">
          <a:noFill/>
          <a:miter lim="800000"/>
          <a:headEnd/>
          <a:tailEnd/>
        </a:ln>
      </xdr:spPr>
    </xdr:pic>
    <xdr:clientData/>
  </xdr:twoCellAnchor>
  <xdr:twoCellAnchor>
    <xdr:from>
      <xdr:col>5</xdr:col>
      <xdr:colOff>762000</xdr:colOff>
      <xdr:row>0</xdr:row>
      <xdr:rowOff>9525</xdr:rowOff>
    </xdr:from>
    <xdr:to>
      <xdr:col>6</xdr:col>
      <xdr:colOff>800100</xdr:colOff>
      <xdr:row>1</xdr:row>
      <xdr:rowOff>685800</xdr:rowOff>
    </xdr:to>
    <xdr:pic>
      <xdr:nvPicPr>
        <xdr:cNvPr id="6" name="0 Imagen" descr="Logo SSF RGB.png">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2625" y="9525"/>
          <a:ext cx="1057275" cy="1066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762000</xdr:colOff>
      <xdr:row>0</xdr:row>
      <xdr:rowOff>9525</xdr:rowOff>
    </xdr:from>
    <xdr:to>
      <xdr:col>6</xdr:col>
      <xdr:colOff>800100</xdr:colOff>
      <xdr:row>1</xdr:row>
      <xdr:rowOff>685800</xdr:rowOff>
    </xdr:to>
    <xdr:pic>
      <xdr:nvPicPr>
        <xdr:cNvPr id="2" name="0 Imagen" descr="Logo SSF RGB.png">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2625" y="9525"/>
          <a:ext cx="1057275" cy="1066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762000</xdr:colOff>
      <xdr:row>0</xdr:row>
      <xdr:rowOff>9525</xdr:rowOff>
    </xdr:from>
    <xdr:to>
      <xdr:col>6</xdr:col>
      <xdr:colOff>800100</xdr:colOff>
      <xdr:row>1</xdr:row>
      <xdr:rowOff>685800</xdr:rowOff>
    </xdr:to>
    <xdr:pic>
      <xdr:nvPicPr>
        <xdr:cNvPr id="2" name="0 Imagen" descr="Logo SSF RGB.png">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2625" y="9525"/>
          <a:ext cx="1057275" cy="1066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noyola\AppData\Local\Microsoft\Windows\INetCache\Content.Outlook\LDMBEV17\CALCULO%20DE%20PRIMA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CÁLCULO PRIMAS"/>
      <sheetName val="ANEXO No.1"/>
      <sheetName val="ANEXO No.2"/>
      <sheetName val="COTIZACIONES MERCADO"/>
      <sheetName val="SINTESIS"/>
      <sheetName val="SA2013"/>
      <sheetName val="SA2014"/>
      <sheetName val="SA2015"/>
      <sheetName val="SA2016"/>
      <sheetName val="SA2017"/>
      <sheetName val="PYS2013"/>
      <sheetName val="PYS2014"/>
      <sheetName val="PYS2015"/>
      <sheetName val="PYS2016"/>
      <sheetName val="PYS2017"/>
      <sheetName val="PV2013"/>
      <sheetName val="PV2014"/>
      <sheetName val="PV2015"/>
    </sheetNames>
    <sheetDataSet>
      <sheetData sheetId="0"/>
      <sheetData sheetId="1"/>
      <sheetData sheetId="2"/>
      <sheetData sheetId="3">
        <row r="21">
          <cell r="B21">
            <v>2.0790000000000001E-3</v>
          </cell>
          <cell r="C21">
            <v>1.2980000000000001E-3</v>
          </cell>
          <cell r="D21">
            <v>6.3579999999999995E-4</v>
          </cell>
          <cell r="E21">
            <v>5.082000000000001E-4</v>
          </cell>
          <cell r="F21">
            <v>3.4705000000000006E-4</v>
          </cell>
        </row>
        <row r="29">
          <cell r="I29">
            <v>8.2280000000000032E-5</v>
          </cell>
          <cell r="J29">
            <v>4.4769999999999986E-5</v>
          </cell>
          <cell r="K29">
            <v>2.5410000000000016E-5</v>
          </cell>
          <cell r="L29">
            <v>2.0328000000000003E-5</v>
          </cell>
          <cell r="M29">
            <v>1.3854499999999991E-5</v>
          </cell>
        </row>
        <row r="30">
          <cell r="I30">
            <v>1.0164000000000002E-4</v>
          </cell>
          <cell r="J30">
            <v>5.687000000000003E-5</v>
          </cell>
          <cell r="K30">
            <v>3.1702000000000002E-5</v>
          </cell>
          <cell r="L30">
            <v>2.5410000000000006E-5</v>
          </cell>
          <cell r="M30">
            <v>1.7363500000000011E-5</v>
          </cell>
        </row>
        <row r="31">
          <cell r="I31">
            <v>2.1054000000000003E-4</v>
          </cell>
          <cell r="J31">
            <v>1.1132E-4</v>
          </cell>
          <cell r="K31">
            <v>6.364600000000002E-5</v>
          </cell>
          <cell r="L31">
            <v>5.0941000000000006E-5</v>
          </cell>
          <cell r="M31">
            <v>4.1684500000000011E-5</v>
          </cell>
        </row>
        <row r="32">
          <cell r="I32">
            <v>1.8694499999999999E-4</v>
          </cell>
          <cell r="J32">
            <v>1.0672199999999989E-4</v>
          </cell>
          <cell r="K32">
            <v>5.7208799999999966E-5</v>
          </cell>
          <cell r="L32">
            <v>4.5774299999999959E-5</v>
          </cell>
          <cell r="M32">
            <v>3.3323399999999993E-5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2" backgroundRefresh="0" preserveFormatting="0" connectionId="1" xr16:uid="{00000000-0016-0000-1000-000000000000}" autoFormatId="0" applyNumberFormats="0" applyBorderFormats="0" applyFontFormats="1" applyPatternFormats="0" applyAlignmentFormats="0" applyWidthHeightFormats="1">
  <queryTableRefresh preserveSortFilterLayout="0">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2" backgroundRefresh="0" preserveFormatting="0" connectionId="3" xr16:uid="{00000000-0016-0000-1100-000001000000}" autoFormatId="0" applyNumberFormats="0" applyBorderFormats="0" applyFontFormats="1" applyPatternFormats="0" applyAlignmentFormats="0" applyWidthHeightFormats="1">
  <queryTableRefresh preserveSortFilterLayout="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tosExternos2" backgroundRefresh="0" preserveFormatting="0" connectionId="4" xr16:uid="{00000000-0016-0000-1200-000002000000}" autoFormatId="0" applyNumberFormats="0" applyBorderFormats="0" applyFontFormats="1" applyPatternFormats="0" applyAlignmentFormats="0" applyWidthHeightFormats="1">
  <queryTableRefresh preserveSortFilterLayout="0">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DatosExternos2" backgroundRefresh="0" preserveFormatting="0" connectionId="2" xr16:uid="{00000000-0016-0000-1300-000003000000}" autoFormatId="0" applyNumberFormats="0" applyBorderFormats="0" applyFontFormats="1" applyPatternFormats="0" applyAlignmentFormats="0" applyWidthHeightFormats="1">
  <queryTableRefresh preserveSortFilterLayout="0">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DatosExternos2" backgroundRefresh="0" preserveFormatting="0" connectionId="5" xr16:uid="{00000000-0016-0000-1400-000004000000}" autoFormatId="0" applyNumberFormats="0" applyBorderFormats="0" applyFontFormats="1" applyPatternFormats="0" applyAlignmentFormats="0" applyWidthHeightFormats="1">
  <queryTableRefresh preserveSortFilterLayout="0">
    <queryTableFields/>
  </queryTableRefresh>
</query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8.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19.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21.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3:X79"/>
  <sheetViews>
    <sheetView topLeftCell="A16" workbookViewId="0">
      <selection activeCell="E24" sqref="E24"/>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c r="L7" s="689"/>
      <c r="M7" s="689"/>
      <c r="N7" s="689"/>
      <c r="O7" s="689"/>
    </row>
    <row r="8" spans="3:19" ht="12" customHeight="1" thickBot="1" x14ac:dyDescent="0.4"/>
    <row r="9" spans="3:19" ht="15.65" customHeight="1" thickBot="1" x14ac:dyDescent="0.4">
      <c r="C9" s="723" t="s">
        <v>245</v>
      </c>
      <c r="D9" s="725" t="s">
        <v>246</v>
      </c>
      <c r="E9" s="726"/>
      <c r="F9" s="726"/>
      <c r="G9" s="726"/>
      <c r="H9" s="727"/>
      <c r="I9" s="728" t="s">
        <v>247</v>
      </c>
      <c r="K9" s="671"/>
      <c r="L9" s="671"/>
      <c r="M9" s="671"/>
      <c r="N9" s="671"/>
      <c r="O9" s="671"/>
    </row>
    <row r="10" spans="3:19" ht="15"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customHeight="1" x14ac:dyDescent="0.35">
      <c r="C11" s="724"/>
      <c r="D11" s="731" t="s">
        <v>253</v>
      </c>
      <c r="E11" s="732"/>
      <c r="F11" s="732"/>
      <c r="G11" s="732"/>
      <c r="H11" s="728"/>
      <c r="I11" s="730"/>
      <c r="K11" s="671"/>
      <c r="L11" s="671"/>
      <c r="M11" s="671"/>
      <c r="N11" s="671"/>
      <c r="O11" s="671"/>
      <c r="P11" s="671"/>
      <c r="R11">
        <v>30</v>
      </c>
      <c r="S11">
        <f>+D16</f>
        <v>3.0288E-4</v>
      </c>
    </row>
    <row r="12" spans="3:19" ht="2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f>IF(COTIZADOR!D18="HOMBRE",1,2)</f>
        <v>1</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f ca="1">COTIZADOR!D16</f>
        <v>57</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t="str">
        <f>IF(COTIZADOR!D12&lt;250000,"",250000)</f>
        <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t="e">
        <f>+IF(D21=1,IF(D24=K10,VLOOKUP(D22,'ANEXO No.1'!B11:G76,2),IF('Titu A'!D24='Titu A'!L10,VLOOKUP(D22,'ANEXO No.1'!B11:G76,3),IF('Titu A'!D24='Titu A'!M10,VLOOKUP(D22,'ANEXO No.1'!B11:G76,4),IF('Titu A'!D24='Titu A'!N10,VLOOKUP(D22,'ANEXO No.1'!B11:G76,5),IF('Titu A'!D24='Titu A'!O10,VLOOKUP(D22,'ANEXO No.1'!B11:G76,6))))))*D24,IF(D24=K10,VLOOKUP(D22,'ANEXO No.1'!B11:G76,2),IF('Titu A'!D24='Titu A'!L10,VLOOKUP(D22,'ANEXO No.1'!B11:G76,3),IF('Titu A'!D24='Titu A'!M10,VLOOKUP(D22,'ANEXO No.1'!B11:G76,4),IF('Titu A'!D24='Titu A'!N10,VLOOKUP(D22,'ANEXO No.1'!B11:G76,5),IF('Titu A'!D24='Titu A'!O10,VLOOKUP(D22,'ANEXO No.1'!B11:G76,6))))))*D24*1.15)</f>
        <v>#VALUE!</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t="e">
        <f>SUM(E26:E29)</f>
        <v>#VALUE!</v>
      </c>
      <c r="F30" s="639" t="e">
        <f>E30/(1-0.4)</f>
        <v>#VALUE!</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t="e">
        <f>+F30</f>
        <v>#VALUE!</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sheetData>
  <mergeCells count="6">
    <mergeCell ref="C9:C11"/>
    <mergeCell ref="D9:H9"/>
    <mergeCell ref="I9:I11"/>
    <mergeCell ref="D11:H11"/>
    <mergeCell ref="C6:I6"/>
    <mergeCell ref="C7:I7"/>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VL16"/>
  <sheetViews>
    <sheetView showGridLines="0" showRowColHeaders="0" tabSelected="1" workbookViewId="0">
      <selection activeCell="C11" sqref="C11"/>
    </sheetView>
  </sheetViews>
  <sheetFormatPr baseColWidth="10" defaultColWidth="0" defaultRowHeight="12.75" customHeight="1" zeroHeight="1" x14ac:dyDescent="0.35"/>
  <cols>
    <col min="1" max="1" width="3.54296875" style="677" customWidth="1"/>
    <col min="2" max="2" width="23.81640625" style="677" customWidth="1"/>
    <col min="3" max="3" width="38.81640625" style="677" customWidth="1"/>
    <col min="4" max="4" width="3.54296875" style="677" customWidth="1"/>
    <col min="5" max="256" width="9.1796875" hidden="1"/>
    <col min="257" max="257" width="3.54296875" style="677" hidden="1"/>
    <col min="258" max="258" width="23.81640625" style="677" hidden="1"/>
    <col min="259" max="259" width="38.81640625" style="677" hidden="1"/>
    <col min="260" max="260" width="3.54296875" style="677" hidden="1"/>
    <col min="261" max="512" width="9.1796875" style="677" hidden="1"/>
    <col min="513" max="513" width="3.54296875" style="677" hidden="1"/>
    <col min="514" max="514" width="23.81640625" style="677" hidden="1"/>
    <col min="515" max="515" width="38.81640625" style="677" hidden="1"/>
    <col min="516" max="516" width="3.54296875" style="677" hidden="1"/>
    <col min="517" max="768" width="9.1796875" style="677" hidden="1"/>
    <col min="769" max="769" width="3.54296875" style="677" hidden="1"/>
    <col min="770" max="770" width="23.81640625" style="677" hidden="1"/>
    <col min="771" max="771" width="38.81640625" style="677" hidden="1"/>
    <col min="772" max="772" width="3.54296875" style="677" hidden="1"/>
    <col min="773" max="1024" width="9.1796875" style="677" hidden="1"/>
    <col min="1025" max="1025" width="3.54296875" style="677" hidden="1"/>
    <col min="1026" max="1026" width="23.81640625" style="677" hidden="1"/>
    <col min="1027" max="1027" width="38.81640625" style="677" hidden="1"/>
    <col min="1028" max="1028" width="3.54296875" style="677" hidden="1"/>
    <col min="1029" max="1280" width="9.1796875" style="677" hidden="1"/>
    <col min="1281" max="1281" width="3.54296875" style="677" hidden="1"/>
    <col min="1282" max="1282" width="23.81640625" style="677" hidden="1"/>
    <col min="1283" max="1283" width="38.81640625" style="677" hidden="1"/>
    <col min="1284" max="1284" width="3.54296875" style="677" hidden="1"/>
    <col min="1285" max="1536" width="9.1796875" style="677" hidden="1"/>
    <col min="1537" max="1537" width="3.54296875" style="677" hidden="1"/>
    <col min="1538" max="1538" width="23.81640625" style="677" hidden="1"/>
    <col min="1539" max="1539" width="38.81640625" style="677" hidden="1"/>
    <col min="1540" max="1540" width="3.54296875" style="677" hidden="1"/>
    <col min="1541" max="1792" width="9.1796875" style="677" hidden="1"/>
    <col min="1793" max="1793" width="3.54296875" style="677" hidden="1"/>
    <col min="1794" max="1794" width="23.81640625" style="677" hidden="1"/>
    <col min="1795" max="1795" width="38.81640625" style="677" hidden="1"/>
    <col min="1796" max="1796" width="3.54296875" style="677" hidden="1"/>
    <col min="1797" max="2048" width="9.1796875" style="677" hidden="1"/>
    <col min="2049" max="2049" width="3.54296875" style="677" hidden="1"/>
    <col min="2050" max="2050" width="23.81640625" style="677" hidden="1"/>
    <col min="2051" max="2051" width="38.81640625" style="677" hidden="1"/>
    <col min="2052" max="2052" width="3.54296875" style="677" hidden="1"/>
    <col min="2053" max="2304" width="9.1796875" style="677" hidden="1"/>
    <col min="2305" max="2305" width="3.54296875" style="677" hidden="1"/>
    <col min="2306" max="2306" width="23.81640625" style="677" hidden="1"/>
    <col min="2307" max="2307" width="38.81640625" style="677" hidden="1"/>
    <col min="2308" max="2308" width="3.54296875" style="677" hidden="1"/>
    <col min="2309" max="2560" width="9.1796875" style="677" hidden="1"/>
    <col min="2561" max="2561" width="3.54296875" style="677" hidden="1"/>
    <col min="2562" max="2562" width="23.81640625" style="677" hidden="1"/>
    <col min="2563" max="2563" width="38.81640625" style="677" hidden="1"/>
    <col min="2564" max="2564" width="3.54296875" style="677" hidden="1"/>
    <col min="2565" max="2816" width="9.1796875" style="677" hidden="1"/>
    <col min="2817" max="2817" width="3.54296875" style="677" hidden="1"/>
    <col min="2818" max="2818" width="23.81640625" style="677" hidden="1"/>
    <col min="2819" max="2819" width="38.81640625" style="677" hidden="1"/>
    <col min="2820" max="2820" width="3.54296875" style="677" hidden="1"/>
    <col min="2821" max="3072" width="9.1796875" style="677" hidden="1"/>
    <col min="3073" max="3073" width="3.54296875" style="677" hidden="1"/>
    <col min="3074" max="3074" width="23.81640625" style="677" hidden="1"/>
    <col min="3075" max="3075" width="38.81640625" style="677" hidden="1"/>
    <col min="3076" max="3076" width="3.54296875" style="677" hidden="1"/>
    <col min="3077" max="3328" width="9.1796875" style="677" hidden="1"/>
    <col min="3329" max="3329" width="3.54296875" style="677" hidden="1"/>
    <col min="3330" max="3330" width="23.81640625" style="677" hidden="1"/>
    <col min="3331" max="3331" width="38.81640625" style="677" hidden="1"/>
    <col min="3332" max="3332" width="3.54296875" style="677" hidden="1"/>
    <col min="3333" max="3584" width="9.1796875" style="677" hidden="1"/>
    <col min="3585" max="3585" width="3.54296875" style="677" hidden="1"/>
    <col min="3586" max="3586" width="23.81640625" style="677" hidden="1"/>
    <col min="3587" max="3587" width="38.81640625" style="677" hidden="1"/>
    <col min="3588" max="3588" width="3.54296875" style="677" hidden="1"/>
    <col min="3589" max="3840" width="9.1796875" style="677" hidden="1"/>
    <col min="3841" max="3841" width="3.54296875" style="677" hidden="1"/>
    <col min="3842" max="3842" width="23.81640625" style="677" hidden="1"/>
    <col min="3843" max="3843" width="38.81640625" style="677" hidden="1"/>
    <col min="3844" max="3844" width="3.54296875" style="677" hidden="1"/>
    <col min="3845" max="4096" width="9.1796875" style="677" hidden="1"/>
    <col min="4097" max="4097" width="3.54296875" style="677" hidden="1"/>
    <col min="4098" max="4098" width="23.81640625" style="677" hidden="1"/>
    <col min="4099" max="4099" width="38.81640625" style="677" hidden="1"/>
    <col min="4100" max="4100" width="3.54296875" style="677" hidden="1"/>
    <col min="4101" max="4352" width="9.1796875" style="677" hidden="1"/>
    <col min="4353" max="4353" width="3.54296875" style="677" hidden="1"/>
    <col min="4354" max="4354" width="23.81640625" style="677" hidden="1"/>
    <col min="4355" max="4355" width="38.81640625" style="677" hidden="1"/>
    <col min="4356" max="4356" width="3.54296875" style="677" hidden="1"/>
    <col min="4357" max="4608" width="9.1796875" style="677" hidden="1"/>
    <col min="4609" max="4609" width="3.54296875" style="677" hidden="1"/>
    <col min="4610" max="4610" width="23.81640625" style="677" hidden="1"/>
    <col min="4611" max="4611" width="38.81640625" style="677" hidden="1"/>
    <col min="4612" max="4612" width="3.54296875" style="677" hidden="1"/>
    <col min="4613" max="4864" width="9.1796875" style="677" hidden="1"/>
    <col min="4865" max="4865" width="3.54296875" style="677" hidden="1"/>
    <col min="4866" max="4866" width="23.81640625" style="677" hidden="1"/>
    <col min="4867" max="4867" width="38.81640625" style="677" hidden="1"/>
    <col min="4868" max="4868" width="3.54296875" style="677" hidden="1"/>
    <col min="4869" max="5120" width="9.1796875" style="677" hidden="1"/>
    <col min="5121" max="5121" width="3.54296875" style="677" hidden="1"/>
    <col min="5122" max="5122" width="23.81640625" style="677" hidden="1"/>
    <col min="5123" max="5123" width="38.81640625" style="677" hidden="1"/>
    <col min="5124" max="5124" width="3.54296875" style="677" hidden="1"/>
    <col min="5125" max="5376" width="9.1796875" style="677" hidden="1"/>
    <col min="5377" max="5377" width="3.54296875" style="677" hidden="1"/>
    <col min="5378" max="5378" width="23.81640625" style="677" hidden="1"/>
    <col min="5379" max="5379" width="38.81640625" style="677" hidden="1"/>
    <col min="5380" max="5380" width="3.54296875" style="677" hidden="1"/>
    <col min="5381" max="5632" width="9.1796875" style="677" hidden="1"/>
    <col min="5633" max="5633" width="3.54296875" style="677" hidden="1"/>
    <col min="5634" max="5634" width="23.81640625" style="677" hidden="1"/>
    <col min="5635" max="5635" width="38.81640625" style="677" hidden="1"/>
    <col min="5636" max="5636" width="3.54296875" style="677" hidden="1"/>
    <col min="5637" max="5888" width="9.1796875" style="677" hidden="1"/>
    <col min="5889" max="5889" width="3.54296875" style="677" hidden="1"/>
    <col min="5890" max="5890" width="23.81640625" style="677" hidden="1"/>
    <col min="5891" max="5891" width="38.81640625" style="677" hidden="1"/>
    <col min="5892" max="5892" width="3.54296875" style="677" hidden="1"/>
    <col min="5893" max="6144" width="9.1796875" style="677" hidden="1"/>
    <col min="6145" max="6145" width="3.54296875" style="677" hidden="1"/>
    <col min="6146" max="6146" width="23.81640625" style="677" hidden="1"/>
    <col min="6147" max="6147" width="38.81640625" style="677" hidden="1"/>
    <col min="6148" max="6148" width="3.54296875" style="677" hidden="1"/>
    <col min="6149" max="6400" width="9.1796875" style="677" hidden="1"/>
    <col min="6401" max="6401" width="3.54296875" style="677" hidden="1"/>
    <col min="6402" max="6402" width="23.81640625" style="677" hidden="1"/>
    <col min="6403" max="6403" width="38.81640625" style="677" hidden="1"/>
    <col min="6404" max="6404" width="3.54296875" style="677" hidden="1"/>
    <col min="6405" max="6656" width="9.1796875" style="677" hidden="1"/>
    <col min="6657" max="6657" width="3.54296875" style="677" hidden="1"/>
    <col min="6658" max="6658" width="23.81640625" style="677" hidden="1"/>
    <col min="6659" max="6659" width="38.81640625" style="677" hidden="1"/>
    <col min="6660" max="6660" width="3.54296875" style="677" hidden="1"/>
    <col min="6661" max="6912" width="9.1796875" style="677" hidden="1"/>
    <col min="6913" max="6913" width="3.54296875" style="677" hidden="1"/>
    <col min="6914" max="6914" width="23.81640625" style="677" hidden="1"/>
    <col min="6915" max="6915" width="38.81640625" style="677" hidden="1"/>
    <col min="6916" max="6916" width="3.54296875" style="677" hidden="1"/>
    <col min="6917" max="7168" width="9.1796875" style="677" hidden="1"/>
    <col min="7169" max="7169" width="3.54296875" style="677" hidden="1"/>
    <col min="7170" max="7170" width="23.81640625" style="677" hidden="1"/>
    <col min="7171" max="7171" width="38.81640625" style="677" hidden="1"/>
    <col min="7172" max="7172" width="3.54296875" style="677" hidden="1"/>
    <col min="7173" max="7424" width="9.1796875" style="677" hidden="1"/>
    <col min="7425" max="7425" width="3.54296875" style="677" hidden="1"/>
    <col min="7426" max="7426" width="23.81640625" style="677" hidden="1"/>
    <col min="7427" max="7427" width="38.81640625" style="677" hidden="1"/>
    <col min="7428" max="7428" width="3.54296875" style="677" hidden="1"/>
    <col min="7429" max="7680" width="9.1796875" style="677" hidden="1"/>
    <col min="7681" max="7681" width="3.54296875" style="677" hidden="1"/>
    <col min="7682" max="7682" width="23.81640625" style="677" hidden="1"/>
    <col min="7683" max="7683" width="38.81640625" style="677" hidden="1"/>
    <col min="7684" max="7684" width="3.54296875" style="677" hidden="1"/>
    <col min="7685" max="7936" width="9.1796875" style="677" hidden="1"/>
    <col min="7937" max="7937" width="3.54296875" style="677" hidden="1"/>
    <col min="7938" max="7938" width="23.81640625" style="677" hidden="1"/>
    <col min="7939" max="7939" width="38.81640625" style="677" hidden="1"/>
    <col min="7940" max="7940" width="3.54296875" style="677" hidden="1"/>
    <col min="7941" max="8192" width="9.1796875" style="677" hidden="1"/>
    <col min="8193" max="8193" width="3.54296875" style="677" hidden="1"/>
    <col min="8194" max="8194" width="23.81640625" style="677" hidden="1"/>
    <col min="8195" max="8195" width="38.81640625" style="677" hidden="1"/>
    <col min="8196" max="8196" width="3.54296875" style="677" hidden="1"/>
    <col min="8197" max="8448" width="9.1796875" style="677" hidden="1"/>
    <col min="8449" max="8449" width="3.54296875" style="677" hidden="1"/>
    <col min="8450" max="8450" width="23.81640625" style="677" hidden="1"/>
    <col min="8451" max="8451" width="38.81640625" style="677" hidden="1"/>
    <col min="8452" max="8452" width="3.54296875" style="677" hidden="1"/>
    <col min="8453" max="8704" width="9.1796875" style="677" hidden="1"/>
    <col min="8705" max="8705" width="3.54296875" style="677" hidden="1"/>
    <col min="8706" max="8706" width="23.81640625" style="677" hidden="1"/>
    <col min="8707" max="8707" width="38.81640625" style="677" hidden="1"/>
    <col min="8708" max="8708" width="3.54296875" style="677" hidden="1"/>
    <col min="8709" max="8960" width="9.1796875" style="677" hidden="1"/>
    <col min="8961" max="8961" width="3.54296875" style="677" hidden="1"/>
    <col min="8962" max="8962" width="23.81640625" style="677" hidden="1"/>
    <col min="8963" max="8963" width="38.81640625" style="677" hidden="1"/>
    <col min="8964" max="8964" width="3.54296875" style="677" hidden="1"/>
    <col min="8965" max="9216" width="9.1796875" style="677" hidden="1"/>
    <col min="9217" max="9217" width="3.54296875" style="677" hidden="1"/>
    <col min="9218" max="9218" width="23.81640625" style="677" hidden="1"/>
    <col min="9219" max="9219" width="38.81640625" style="677" hidden="1"/>
    <col min="9220" max="9220" width="3.54296875" style="677" hidden="1"/>
    <col min="9221" max="9472" width="9.1796875" style="677" hidden="1"/>
    <col min="9473" max="9473" width="3.54296875" style="677" hidden="1"/>
    <col min="9474" max="9474" width="23.81640625" style="677" hidden="1"/>
    <col min="9475" max="9475" width="38.81640625" style="677" hidden="1"/>
    <col min="9476" max="9476" width="3.54296875" style="677" hidden="1"/>
    <col min="9477" max="9728" width="9.1796875" style="677" hidden="1"/>
    <col min="9729" max="9729" width="3.54296875" style="677" hidden="1"/>
    <col min="9730" max="9730" width="23.81640625" style="677" hidden="1"/>
    <col min="9731" max="9731" width="38.81640625" style="677" hidden="1"/>
    <col min="9732" max="9732" width="3.54296875" style="677" hidden="1"/>
    <col min="9733" max="9984" width="9.1796875" style="677" hidden="1"/>
    <col min="9985" max="9985" width="3.54296875" style="677" hidden="1"/>
    <col min="9986" max="9986" width="23.81640625" style="677" hidden="1"/>
    <col min="9987" max="9987" width="38.81640625" style="677" hidden="1"/>
    <col min="9988" max="9988" width="3.54296875" style="677" hidden="1"/>
    <col min="9989" max="10240" width="9.1796875" style="677" hidden="1"/>
    <col min="10241" max="10241" width="3.54296875" style="677" hidden="1"/>
    <col min="10242" max="10242" width="23.81640625" style="677" hidden="1"/>
    <col min="10243" max="10243" width="38.81640625" style="677" hidden="1"/>
    <col min="10244" max="10244" width="3.54296875" style="677" hidden="1"/>
    <col min="10245" max="10496" width="9.1796875" style="677" hidden="1"/>
    <col min="10497" max="10497" width="3.54296875" style="677" hidden="1"/>
    <col min="10498" max="10498" width="23.81640625" style="677" hidden="1"/>
    <col min="10499" max="10499" width="38.81640625" style="677" hidden="1"/>
    <col min="10500" max="10500" width="3.54296875" style="677" hidden="1"/>
    <col min="10501" max="10752" width="9.1796875" style="677" hidden="1"/>
    <col min="10753" max="10753" width="3.54296875" style="677" hidden="1"/>
    <col min="10754" max="10754" width="23.81640625" style="677" hidden="1"/>
    <col min="10755" max="10755" width="38.81640625" style="677" hidden="1"/>
    <col min="10756" max="10756" width="3.54296875" style="677" hidden="1"/>
    <col min="10757" max="11008" width="9.1796875" style="677" hidden="1"/>
    <col min="11009" max="11009" width="3.54296875" style="677" hidden="1"/>
    <col min="11010" max="11010" width="23.81640625" style="677" hidden="1"/>
    <col min="11011" max="11011" width="38.81640625" style="677" hidden="1"/>
    <col min="11012" max="11012" width="3.54296875" style="677" hidden="1"/>
    <col min="11013" max="11264" width="9.1796875" style="677" hidden="1"/>
    <col min="11265" max="11265" width="3.54296875" style="677" hidden="1"/>
    <col min="11266" max="11266" width="23.81640625" style="677" hidden="1"/>
    <col min="11267" max="11267" width="38.81640625" style="677" hidden="1"/>
    <col min="11268" max="11268" width="3.54296875" style="677" hidden="1"/>
    <col min="11269" max="11520" width="9.1796875" style="677" hidden="1"/>
    <col min="11521" max="11521" width="3.54296875" style="677" hidden="1"/>
    <col min="11522" max="11522" width="23.81640625" style="677" hidden="1"/>
    <col min="11523" max="11523" width="38.81640625" style="677" hidden="1"/>
    <col min="11524" max="11524" width="3.54296875" style="677" hidden="1"/>
    <col min="11525" max="11776" width="9.1796875" style="677" hidden="1"/>
    <col min="11777" max="11777" width="3.54296875" style="677" hidden="1"/>
    <col min="11778" max="11778" width="23.81640625" style="677" hidden="1"/>
    <col min="11779" max="11779" width="38.81640625" style="677" hidden="1"/>
    <col min="11780" max="11780" width="3.54296875" style="677" hidden="1"/>
    <col min="11781" max="12032" width="9.1796875" style="677" hidden="1"/>
    <col min="12033" max="12033" width="3.54296875" style="677" hidden="1"/>
    <col min="12034" max="12034" width="23.81640625" style="677" hidden="1"/>
    <col min="12035" max="12035" width="38.81640625" style="677" hidden="1"/>
    <col min="12036" max="12036" width="3.54296875" style="677" hidden="1"/>
    <col min="12037" max="12288" width="9.1796875" style="677" hidden="1"/>
    <col min="12289" max="12289" width="3.54296875" style="677" hidden="1"/>
    <col min="12290" max="12290" width="23.81640625" style="677" hidden="1"/>
    <col min="12291" max="12291" width="38.81640625" style="677" hidden="1"/>
    <col min="12292" max="12292" width="3.54296875" style="677" hidden="1"/>
    <col min="12293" max="12544" width="9.1796875" style="677" hidden="1"/>
    <col min="12545" max="12545" width="3.54296875" style="677" hidden="1"/>
    <col min="12546" max="12546" width="23.81640625" style="677" hidden="1"/>
    <col min="12547" max="12547" width="38.81640625" style="677" hidden="1"/>
    <col min="12548" max="12548" width="3.54296875" style="677" hidden="1"/>
    <col min="12549" max="12800" width="9.1796875" style="677" hidden="1"/>
    <col min="12801" max="12801" width="3.54296875" style="677" hidden="1"/>
    <col min="12802" max="12802" width="23.81640625" style="677" hidden="1"/>
    <col min="12803" max="12803" width="38.81640625" style="677" hidden="1"/>
    <col min="12804" max="12804" width="3.54296875" style="677" hidden="1"/>
    <col min="12805" max="13056" width="9.1796875" style="677" hidden="1"/>
    <col min="13057" max="13057" width="3.54296875" style="677" hidden="1"/>
    <col min="13058" max="13058" width="23.81640625" style="677" hidden="1"/>
    <col min="13059" max="13059" width="38.81640625" style="677" hidden="1"/>
    <col min="13060" max="13060" width="3.54296875" style="677" hidden="1"/>
    <col min="13061" max="13312" width="9.1796875" style="677" hidden="1"/>
    <col min="13313" max="13313" width="3.54296875" style="677" hidden="1"/>
    <col min="13314" max="13314" width="23.81640625" style="677" hidden="1"/>
    <col min="13315" max="13315" width="38.81640625" style="677" hidden="1"/>
    <col min="13316" max="13316" width="3.54296875" style="677" hidden="1"/>
    <col min="13317" max="13568" width="9.1796875" style="677" hidden="1"/>
    <col min="13569" max="13569" width="3.54296875" style="677" hidden="1"/>
    <col min="13570" max="13570" width="23.81640625" style="677" hidden="1"/>
    <col min="13571" max="13571" width="38.81640625" style="677" hidden="1"/>
    <col min="13572" max="13572" width="3.54296875" style="677" hidden="1"/>
    <col min="13573" max="13824" width="9.1796875" style="677" hidden="1"/>
    <col min="13825" max="13825" width="3.54296875" style="677" hidden="1"/>
    <col min="13826" max="13826" width="23.81640625" style="677" hidden="1"/>
    <col min="13827" max="13827" width="38.81640625" style="677" hidden="1"/>
    <col min="13828" max="13828" width="3.54296875" style="677" hidden="1"/>
    <col min="13829" max="14080" width="9.1796875" style="677" hidden="1"/>
    <col min="14081" max="14081" width="3.54296875" style="677" hidden="1"/>
    <col min="14082" max="14082" width="23.81640625" style="677" hidden="1"/>
    <col min="14083" max="14083" width="38.81640625" style="677" hidden="1"/>
    <col min="14084" max="14084" width="3.54296875" style="677" hidden="1"/>
    <col min="14085" max="14336" width="9.1796875" style="677" hidden="1"/>
    <col min="14337" max="14337" width="3.54296875" style="677" hidden="1"/>
    <col min="14338" max="14338" width="23.81640625" style="677" hidden="1"/>
    <col min="14339" max="14339" width="38.81640625" style="677" hidden="1"/>
    <col min="14340" max="14340" width="3.54296875" style="677" hidden="1"/>
    <col min="14341" max="14592" width="9.1796875" style="677" hidden="1"/>
    <col min="14593" max="14593" width="3.54296875" style="677" hidden="1"/>
    <col min="14594" max="14594" width="23.81640625" style="677" hidden="1"/>
    <col min="14595" max="14595" width="38.81640625" style="677" hidden="1"/>
    <col min="14596" max="14596" width="3.54296875" style="677" hidden="1"/>
    <col min="14597" max="14848" width="9.1796875" style="677" hidden="1"/>
    <col min="14849" max="14849" width="3.54296875" style="677" hidden="1"/>
    <col min="14850" max="14850" width="23.81640625" style="677" hidden="1"/>
    <col min="14851" max="14851" width="38.81640625" style="677" hidden="1"/>
    <col min="14852" max="14852" width="3.54296875" style="677" hidden="1"/>
    <col min="14853" max="15104" width="9.1796875" style="677" hidden="1"/>
    <col min="15105" max="15105" width="3.54296875" style="677" hidden="1"/>
    <col min="15106" max="15106" width="23.81640625" style="677" hidden="1"/>
    <col min="15107" max="15107" width="38.81640625" style="677" hidden="1"/>
    <col min="15108" max="15108" width="3.54296875" style="677" hidden="1"/>
    <col min="15109" max="15360" width="9.1796875" style="677" hidden="1"/>
    <col min="15361" max="15361" width="3.54296875" style="677" hidden="1"/>
    <col min="15362" max="15362" width="23.81640625" style="677" hidden="1"/>
    <col min="15363" max="15363" width="38.81640625" style="677" hidden="1"/>
    <col min="15364" max="15364" width="3.54296875" style="677" hidden="1"/>
    <col min="15365" max="15616" width="9.1796875" style="677" hidden="1"/>
    <col min="15617" max="15617" width="3.54296875" style="677" hidden="1"/>
    <col min="15618" max="15618" width="23.81640625" style="677" hidden="1"/>
    <col min="15619" max="15619" width="38.81640625" style="677" hidden="1"/>
    <col min="15620" max="15620" width="3.54296875" style="677" hidden="1"/>
    <col min="15621" max="15872" width="9.1796875" style="677" hidden="1"/>
    <col min="15873" max="15873" width="3.54296875" style="677" hidden="1"/>
    <col min="15874" max="15874" width="23.81640625" style="677" hidden="1"/>
    <col min="15875" max="15875" width="38.81640625" style="677" hidden="1"/>
    <col min="15876" max="15876" width="3.54296875" style="677" hidden="1"/>
    <col min="15877" max="16128" width="9.1796875" style="677" hidden="1"/>
    <col min="16129" max="16129" width="3.54296875" style="677" hidden="1"/>
    <col min="16130" max="16130" width="23.81640625" style="677" hidden="1"/>
    <col min="16131" max="16131" width="38.81640625" style="677" hidden="1"/>
    <col min="16132" max="16132" width="3.54296875" style="677" hidden="1"/>
    <col min="16133" max="16384" width="9.1796875" style="677" hidden="1"/>
  </cols>
  <sheetData>
    <row r="1" spans="2:4" ht="14.5" x14ac:dyDescent="0.35"/>
    <row r="2" spans="2:4" ht="14.5" x14ac:dyDescent="0.35"/>
    <row r="3" spans="2:4" ht="14.5" x14ac:dyDescent="0.35"/>
    <row r="4" spans="2:4" ht="14.5" x14ac:dyDescent="0.35"/>
    <row r="5" spans="2:4" ht="14.5" x14ac:dyDescent="0.35"/>
    <row r="6" spans="2:4" ht="15.5" x14ac:dyDescent="0.35">
      <c r="B6" s="735"/>
      <c r="C6" s="735"/>
      <c r="D6" s="678"/>
    </row>
    <row r="7" spans="2:4" ht="15.5" x14ac:dyDescent="0.35">
      <c r="B7" s="735" t="s">
        <v>380</v>
      </c>
      <c r="C7" s="735"/>
      <c r="D7" s="678"/>
    </row>
    <row r="8" spans="2:4" ht="15.5" x14ac:dyDescent="0.35">
      <c r="B8" s="736" t="s">
        <v>373</v>
      </c>
      <c r="C8" s="736"/>
      <c r="D8" s="678"/>
    </row>
    <row r="9" spans="2:4" ht="14.5" x14ac:dyDescent="0.35">
      <c r="B9" s="737" t="s">
        <v>397</v>
      </c>
      <c r="C9" s="737"/>
    </row>
    <row r="10" spans="2:4" ht="14.5" x14ac:dyDescent="0.35"/>
    <row r="11" spans="2:4" ht="14.5" x14ac:dyDescent="0.35">
      <c r="B11" s="677" t="s">
        <v>294</v>
      </c>
      <c r="C11" s="717" t="s">
        <v>381</v>
      </c>
    </row>
    <row r="12" spans="2:4" ht="14.5" x14ac:dyDescent="0.35">
      <c r="B12" s="677" t="s">
        <v>295</v>
      </c>
      <c r="C12" s="717"/>
    </row>
    <row r="13" spans="2:4" ht="14.5" x14ac:dyDescent="0.35">
      <c r="B13" s="677" t="s">
        <v>296</v>
      </c>
      <c r="C13" s="717" t="s">
        <v>382</v>
      </c>
    </row>
    <row r="14" spans="2:4" ht="14.5" x14ac:dyDescent="0.35">
      <c r="B14" s="677" t="s">
        <v>297</v>
      </c>
      <c r="C14" s="718" t="s">
        <v>383</v>
      </c>
    </row>
    <row r="15" spans="2:4" ht="14.5" x14ac:dyDescent="0.35">
      <c r="B15" s="677" t="s">
        <v>298</v>
      </c>
      <c r="C15" s="717">
        <v>0</v>
      </c>
    </row>
    <row r="16" spans="2:4" ht="14.5" x14ac:dyDescent="0.35"/>
  </sheetData>
  <sheetProtection algorithmName="SHA-512" hashValue="5P7ZFNNKnGW20zO8Td8zaHoBKxqcG44Ox59p4jKWh+7tjjfpikbsvp/fmCKe9tBSKf1vXkrIIUsqXRU+QinBQA==" saltValue="jeIkBAsPT/qR1IAH3LhYKQ==" spinCount="100000" sheet="1" objects="1" scenarios="1" selectLockedCells="1"/>
  <mergeCells count="4">
    <mergeCell ref="B6:C6"/>
    <mergeCell ref="B8:C8"/>
    <mergeCell ref="B9:C9"/>
    <mergeCell ref="B7:C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VR41"/>
  <sheetViews>
    <sheetView showGridLines="0" showRowColHeaders="0" workbookViewId="0">
      <selection activeCell="D12" sqref="D12"/>
    </sheetView>
  </sheetViews>
  <sheetFormatPr baseColWidth="10" defaultColWidth="0" defaultRowHeight="12.75" customHeight="1" zeroHeight="1" x14ac:dyDescent="0.25"/>
  <cols>
    <col min="1" max="1" width="3.54296875" style="677" customWidth="1"/>
    <col min="2" max="2" width="15.453125" style="677" customWidth="1"/>
    <col min="3" max="3" width="34.1796875" style="677" customWidth="1"/>
    <col min="4" max="4" width="26.1796875" style="677" customWidth="1"/>
    <col min="5" max="5" width="3.54296875" style="677" customWidth="1"/>
    <col min="6" max="6" width="15.81640625" style="677" hidden="1"/>
    <col min="7" max="7" width="11.453125" style="677" hidden="1"/>
    <col min="8" max="8" width="2.1796875" style="677" hidden="1"/>
    <col min="9" max="9" width="13.453125" style="677" hidden="1"/>
    <col min="10" max="10" width="2.1796875" style="677" hidden="1"/>
    <col min="11" max="11" width="15" style="677" hidden="1"/>
    <col min="12" max="12" width="2.1796875" style="677" hidden="1"/>
    <col min="13" max="13" width="11.453125" style="677" hidden="1"/>
    <col min="14" max="14" width="2.1796875" style="677" hidden="1"/>
    <col min="15" max="16" width="16.54296875" style="677" hidden="1"/>
    <col min="17" max="17" width="2.1796875" style="677" hidden="1"/>
    <col min="18" max="19" width="11.453125" style="677" hidden="1"/>
    <col min="20" max="20" width="2.1796875" style="677" hidden="1"/>
    <col min="21" max="21" width="16.81640625" style="677" hidden="1"/>
    <col min="22" max="250" width="11.453125" style="677" hidden="1"/>
    <col min="251" max="251" width="3.54296875" style="677" hidden="1"/>
    <col min="252" max="252" width="15.453125" style="677" hidden="1"/>
    <col min="253" max="253" width="34.1796875" style="677" hidden="1"/>
    <col min="254" max="254" width="26.1796875" style="677" hidden="1"/>
    <col min="255" max="255" width="3.54296875" style="677" hidden="1"/>
    <col min="256" max="256" width="2.1796875" style="677" hidden="1"/>
    <col min="257" max="257" width="15.81640625" style="677" hidden="1"/>
    <col min="258" max="258" width="11.453125" style="677" hidden="1"/>
    <col min="259" max="259" width="2.1796875" style="677" hidden="1"/>
    <col min="260" max="260" width="13.453125" style="677" hidden="1"/>
    <col min="261" max="261" width="2.1796875" style="677" hidden="1"/>
    <col min="262" max="262" width="15" style="677" hidden="1"/>
    <col min="263" max="263" width="2.1796875" style="677" hidden="1"/>
    <col min="264" max="264" width="11.453125" style="677" hidden="1"/>
    <col min="265" max="265" width="2.1796875" style="677" hidden="1"/>
    <col min="266" max="266" width="16.54296875" style="677" hidden="1"/>
    <col min="267" max="506" width="11.453125" style="677" hidden="1"/>
    <col min="507" max="507" width="3.54296875" style="677" hidden="1"/>
    <col min="508" max="508" width="15.453125" style="677" hidden="1"/>
    <col min="509" max="509" width="34.1796875" style="677" hidden="1"/>
    <col min="510" max="510" width="26.1796875" style="677" hidden="1"/>
    <col min="511" max="511" width="3.54296875" style="677" hidden="1"/>
    <col min="512" max="512" width="2.1796875" style="677" hidden="1"/>
    <col min="513" max="513" width="15.81640625" style="677" hidden="1"/>
    <col min="514" max="514" width="11.453125" style="677" hidden="1"/>
    <col min="515" max="515" width="2.1796875" style="677" hidden="1"/>
    <col min="516" max="516" width="13.453125" style="677" hidden="1"/>
    <col min="517" max="517" width="2.1796875" style="677" hidden="1"/>
    <col min="518" max="518" width="15" style="677" hidden="1"/>
    <col min="519" max="519" width="2.1796875" style="677" hidden="1"/>
    <col min="520" max="520" width="11.453125" style="677" hidden="1"/>
    <col min="521" max="521" width="2.1796875" style="677" hidden="1"/>
    <col min="522" max="522" width="16.54296875" style="677" hidden="1"/>
    <col min="523" max="762" width="11.453125" style="677" hidden="1"/>
    <col min="763" max="763" width="3.54296875" style="677" hidden="1"/>
    <col min="764" max="764" width="15.453125" style="677" hidden="1"/>
    <col min="765" max="765" width="34.1796875" style="677" hidden="1"/>
    <col min="766" max="766" width="26.1796875" style="677" hidden="1"/>
    <col min="767" max="767" width="3.54296875" style="677" hidden="1"/>
    <col min="768" max="768" width="2.1796875" style="677" hidden="1"/>
    <col min="769" max="769" width="15.81640625" style="677" hidden="1"/>
    <col min="770" max="770" width="11.453125" style="677" hidden="1"/>
    <col min="771" max="771" width="2.1796875" style="677" hidden="1"/>
    <col min="772" max="772" width="13.453125" style="677" hidden="1"/>
    <col min="773" max="773" width="2.1796875" style="677" hidden="1"/>
    <col min="774" max="774" width="15" style="677" hidden="1"/>
    <col min="775" max="775" width="2.1796875" style="677" hidden="1"/>
    <col min="776" max="776" width="11.453125" style="677" hidden="1"/>
    <col min="777" max="777" width="2.1796875" style="677" hidden="1"/>
    <col min="778" max="778" width="16.54296875" style="677" hidden="1"/>
    <col min="779" max="1018" width="11.453125" style="677" hidden="1"/>
    <col min="1019" max="1019" width="3.54296875" style="677" hidden="1"/>
    <col min="1020" max="1020" width="15.453125" style="677" hidden="1"/>
    <col min="1021" max="1021" width="34.1796875" style="677" hidden="1"/>
    <col min="1022" max="1022" width="26.1796875" style="677" hidden="1"/>
    <col min="1023" max="1023" width="3.54296875" style="677" hidden="1"/>
    <col min="1024" max="1024" width="2.1796875" style="677" hidden="1"/>
    <col min="1025" max="1025" width="15.81640625" style="677" hidden="1"/>
    <col min="1026" max="1026" width="11.453125" style="677" hidden="1"/>
    <col min="1027" max="1027" width="2.1796875" style="677" hidden="1"/>
    <col min="1028" max="1028" width="13.453125" style="677" hidden="1"/>
    <col min="1029" max="1029" width="2.1796875" style="677" hidden="1"/>
    <col min="1030" max="1030" width="15" style="677" hidden="1"/>
    <col min="1031" max="1031" width="2.1796875" style="677" hidden="1"/>
    <col min="1032" max="1032" width="11.453125" style="677" hidden="1"/>
    <col min="1033" max="1033" width="2.1796875" style="677" hidden="1"/>
    <col min="1034" max="1034" width="16.54296875" style="677" hidden="1"/>
    <col min="1035" max="1274" width="11.453125" style="677" hidden="1"/>
    <col min="1275" max="1275" width="3.54296875" style="677" hidden="1"/>
    <col min="1276" max="1276" width="15.453125" style="677" hidden="1"/>
    <col min="1277" max="1277" width="34.1796875" style="677" hidden="1"/>
    <col min="1278" max="1278" width="26.1796875" style="677" hidden="1"/>
    <col min="1279" max="1279" width="3.54296875" style="677" hidden="1"/>
    <col min="1280" max="1280" width="2.1796875" style="677" hidden="1"/>
    <col min="1281" max="1281" width="15.81640625" style="677" hidden="1"/>
    <col min="1282" max="1282" width="11.453125" style="677" hidden="1"/>
    <col min="1283" max="1283" width="2.1796875" style="677" hidden="1"/>
    <col min="1284" max="1284" width="13.453125" style="677" hidden="1"/>
    <col min="1285" max="1285" width="2.1796875" style="677" hidden="1"/>
    <col min="1286" max="1286" width="15" style="677" hidden="1"/>
    <col min="1287" max="1287" width="2.1796875" style="677" hidden="1"/>
    <col min="1288" max="1288" width="11.453125" style="677" hidden="1"/>
    <col min="1289" max="1289" width="2.1796875" style="677" hidden="1"/>
    <col min="1290" max="1290" width="16.54296875" style="677" hidden="1"/>
    <col min="1291" max="1530" width="11.453125" style="677" hidden="1"/>
    <col min="1531" max="1531" width="3.54296875" style="677" hidden="1"/>
    <col min="1532" max="1532" width="15.453125" style="677" hidden="1"/>
    <col min="1533" max="1533" width="34.1796875" style="677" hidden="1"/>
    <col min="1534" max="1534" width="26.1796875" style="677" hidden="1"/>
    <col min="1535" max="1535" width="3.54296875" style="677" hidden="1"/>
    <col min="1536" max="1536" width="2.1796875" style="677" hidden="1"/>
    <col min="1537" max="1537" width="15.81640625" style="677" hidden="1"/>
    <col min="1538" max="1538" width="11.453125" style="677" hidden="1"/>
    <col min="1539" max="1539" width="2.1796875" style="677" hidden="1"/>
    <col min="1540" max="1540" width="13.453125" style="677" hidden="1"/>
    <col min="1541" max="1541" width="2.1796875" style="677" hidden="1"/>
    <col min="1542" max="1542" width="15" style="677" hidden="1"/>
    <col min="1543" max="1543" width="2.1796875" style="677" hidden="1"/>
    <col min="1544" max="1544" width="11.453125" style="677" hidden="1"/>
    <col min="1545" max="1545" width="2.1796875" style="677" hidden="1"/>
    <col min="1546" max="1546" width="16.54296875" style="677" hidden="1"/>
    <col min="1547" max="1786" width="11.453125" style="677" hidden="1"/>
    <col min="1787" max="1787" width="3.54296875" style="677" hidden="1"/>
    <col min="1788" max="1788" width="15.453125" style="677" hidden="1"/>
    <col min="1789" max="1789" width="34.1796875" style="677" hidden="1"/>
    <col min="1790" max="1790" width="26.1796875" style="677" hidden="1"/>
    <col min="1791" max="1791" width="3.54296875" style="677" hidden="1"/>
    <col min="1792" max="1792" width="2.1796875" style="677" hidden="1"/>
    <col min="1793" max="1793" width="15.81640625" style="677" hidden="1"/>
    <col min="1794" max="1794" width="11.453125" style="677" hidden="1"/>
    <col min="1795" max="1795" width="2.1796875" style="677" hidden="1"/>
    <col min="1796" max="1796" width="13.453125" style="677" hidden="1"/>
    <col min="1797" max="1797" width="2.1796875" style="677" hidden="1"/>
    <col min="1798" max="1798" width="15" style="677" hidden="1"/>
    <col min="1799" max="1799" width="2.1796875" style="677" hidden="1"/>
    <col min="1800" max="1800" width="11.453125" style="677" hidden="1"/>
    <col min="1801" max="1801" width="2.1796875" style="677" hidden="1"/>
    <col min="1802" max="1802" width="16.54296875" style="677" hidden="1"/>
    <col min="1803" max="2042" width="11.453125" style="677" hidden="1"/>
    <col min="2043" max="2043" width="3.54296875" style="677" hidden="1"/>
    <col min="2044" max="2044" width="15.453125" style="677" hidden="1"/>
    <col min="2045" max="2045" width="34.1796875" style="677" hidden="1"/>
    <col min="2046" max="2046" width="26.1796875" style="677" hidden="1"/>
    <col min="2047" max="2047" width="3.54296875" style="677" hidden="1"/>
    <col min="2048" max="2048" width="2.1796875" style="677" hidden="1"/>
    <col min="2049" max="2049" width="15.81640625" style="677" hidden="1"/>
    <col min="2050" max="2050" width="11.453125" style="677" hidden="1"/>
    <col min="2051" max="2051" width="2.1796875" style="677" hidden="1"/>
    <col min="2052" max="2052" width="13.453125" style="677" hidden="1"/>
    <col min="2053" max="2053" width="2.1796875" style="677" hidden="1"/>
    <col min="2054" max="2054" width="15" style="677" hidden="1"/>
    <col min="2055" max="2055" width="2.1796875" style="677" hidden="1"/>
    <col min="2056" max="2056" width="11.453125" style="677" hidden="1"/>
    <col min="2057" max="2057" width="2.1796875" style="677" hidden="1"/>
    <col min="2058" max="2058" width="16.54296875" style="677" hidden="1"/>
    <col min="2059" max="2298" width="11.453125" style="677" hidden="1"/>
    <col min="2299" max="2299" width="3.54296875" style="677" hidden="1"/>
    <col min="2300" max="2300" width="15.453125" style="677" hidden="1"/>
    <col min="2301" max="2301" width="34.1796875" style="677" hidden="1"/>
    <col min="2302" max="2302" width="26.1796875" style="677" hidden="1"/>
    <col min="2303" max="2303" width="3.54296875" style="677" hidden="1"/>
    <col min="2304" max="2304" width="2.1796875" style="677" hidden="1"/>
    <col min="2305" max="2305" width="15.81640625" style="677" hidden="1"/>
    <col min="2306" max="2306" width="11.453125" style="677" hidden="1"/>
    <col min="2307" max="2307" width="2.1796875" style="677" hidden="1"/>
    <col min="2308" max="2308" width="13.453125" style="677" hidden="1"/>
    <col min="2309" max="2309" width="2.1796875" style="677" hidden="1"/>
    <col min="2310" max="2310" width="15" style="677" hidden="1"/>
    <col min="2311" max="2311" width="2.1796875" style="677" hidden="1"/>
    <col min="2312" max="2312" width="11.453125" style="677" hidden="1"/>
    <col min="2313" max="2313" width="2.1796875" style="677" hidden="1"/>
    <col min="2314" max="2314" width="16.54296875" style="677" hidden="1"/>
    <col min="2315" max="2554" width="11.453125" style="677" hidden="1"/>
    <col min="2555" max="2555" width="3.54296875" style="677" hidden="1"/>
    <col min="2556" max="2556" width="15.453125" style="677" hidden="1"/>
    <col min="2557" max="2557" width="34.1796875" style="677" hidden="1"/>
    <col min="2558" max="2558" width="26.1796875" style="677" hidden="1"/>
    <col min="2559" max="2559" width="3.54296875" style="677" hidden="1"/>
    <col min="2560" max="2560" width="2.1796875" style="677" hidden="1"/>
    <col min="2561" max="2561" width="15.81640625" style="677" hidden="1"/>
    <col min="2562" max="2562" width="11.453125" style="677" hidden="1"/>
    <col min="2563" max="2563" width="2.1796875" style="677" hidden="1"/>
    <col min="2564" max="2564" width="13.453125" style="677" hidden="1"/>
    <col min="2565" max="2565" width="2.1796875" style="677" hidden="1"/>
    <col min="2566" max="2566" width="15" style="677" hidden="1"/>
    <col min="2567" max="2567" width="2.1796875" style="677" hidden="1"/>
    <col min="2568" max="2568" width="11.453125" style="677" hidden="1"/>
    <col min="2569" max="2569" width="2.1796875" style="677" hidden="1"/>
    <col min="2570" max="2570" width="16.54296875" style="677" hidden="1"/>
    <col min="2571" max="2810" width="11.453125" style="677" hidden="1"/>
    <col min="2811" max="2811" width="3.54296875" style="677" hidden="1"/>
    <col min="2812" max="2812" width="15.453125" style="677" hidden="1"/>
    <col min="2813" max="2813" width="34.1796875" style="677" hidden="1"/>
    <col min="2814" max="2814" width="26.1796875" style="677" hidden="1"/>
    <col min="2815" max="2815" width="3.54296875" style="677" hidden="1"/>
    <col min="2816" max="2816" width="2.1796875" style="677" hidden="1"/>
    <col min="2817" max="2817" width="15.81640625" style="677" hidden="1"/>
    <col min="2818" max="2818" width="11.453125" style="677" hidden="1"/>
    <col min="2819" max="2819" width="2.1796875" style="677" hidden="1"/>
    <col min="2820" max="2820" width="13.453125" style="677" hidden="1"/>
    <col min="2821" max="2821" width="2.1796875" style="677" hidden="1"/>
    <col min="2822" max="2822" width="15" style="677" hidden="1"/>
    <col min="2823" max="2823" width="2.1796875" style="677" hidden="1"/>
    <col min="2824" max="2824" width="11.453125" style="677" hidden="1"/>
    <col min="2825" max="2825" width="2.1796875" style="677" hidden="1"/>
    <col min="2826" max="2826" width="16.54296875" style="677" hidden="1"/>
    <col min="2827" max="3066" width="11.453125" style="677" hidden="1"/>
    <col min="3067" max="3067" width="3.54296875" style="677" hidden="1"/>
    <col min="3068" max="3068" width="15.453125" style="677" hidden="1"/>
    <col min="3069" max="3069" width="34.1796875" style="677" hidden="1"/>
    <col min="3070" max="3070" width="26.1796875" style="677" hidden="1"/>
    <col min="3071" max="3071" width="3.54296875" style="677" hidden="1"/>
    <col min="3072" max="3072" width="2.1796875" style="677" hidden="1"/>
    <col min="3073" max="3073" width="15.81640625" style="677" hidden="1"/>
    <col min="3074" max="3074" width="11.453125" style="677" hidden="1"/>
    <col min="3075" max="3075" width="2.1796875" style="677" hidden="1"/>
    <col min="3076" max="3076" width="13.453125" style="677" hidden="1"/>
    <col min="3077" max="3077" width="2.1796875" style="677" hidden="1"/>
    <col min="3078" max="3078" width="15" style="677" hidden="1"/>
    <col min="3079" max="3079" width="2.1796875" style="677" hidden="1"/>
    <col min="3080" max="3080" width="11.453125" style="677" hidden="1"/>
    <col min="3081" max="3081" width="2.1796875" style="677" hidden="1"/>
    <col min="3082" max="3082" width="16.54296875" style="677" hidden="1"/>
    <col min="3083" max="3322" width="11.453125" style="677" hidden="1"/>
    <col min="3323" max="3323" width="3.54296875" style="677" hidden="1"/>
    <col min="3324" max="3324" width="15.453125" style="677" hidden="1"/>
    <col min="3325" max="3325" width="34.1796875" style="677" hidden="1"/>
    <col min="3326" max="3326" width="26.1796875" style="677" hidden="1"/>
    <col min="3327" max="3327" width="3.54296875" style="677" hidden="1"/>
    <col min="3328" max="3328" width="2.1796875" style="677" hidden="1"/>
    <col min="3329" max="3329" width="15.81640625" style="677" hidden="1"/>
    <col min="3330" max="3330" width="11.453125" style="677" hidden="1"/>
    <col min="3331" max="3331" width="2.1796875" style="677" hidden="1"/>
    <col min="3332" max="3332" width="13.453125" style="677" hidden="1"/>
    <col min="3333" max="3333" width="2.1796875" style="677" hidden="1"/>
    <col min="3334" max="3334" width="15" style="677" hidden="1"/>
    <col min="3335" max="3335" width="2.1796875" style="677" hidden="1"/>
    <col min="3336" max="3336" width="11.453125" style="677" hidden="1"/>
    <col min="3337" max="3337" width="2.1796875" style="677" hidden="1"/>
    <col min="3338" max="3338" width="16.54296875" style="677" hidden="1"/>
    <col min="3339" max="3578" width="11.453125" style="677" hidden="1"/>
    <col min="3579" max="3579" width="3.54296875" style="677" hidden="1"/>
    <col min="3580" max="3580" width="15.453125" style="677" hidden="1"/>
    <col min="3581" max="3581" width="34.1796875" style="677" hidden="1"/>
    <col min="3582" max="3582" width="26.1796875" style="677" hidden="1"/>
    <col min="3583" max="3583" width="3.54296875" style="677" hidden="1"/>
    <col min="3584" max="3584" width="2.1796875" style="677" hidden="1"/>
    <col min="3585" max="3585" width="15.81640625" style="677" hidden="1"/>
    <col min="3586" max="3586" width="11.453125" style="677" hidden="1"/>
    <col min="3587" max="3587" width="2.1796875" style="677" hidden="1"/>
    <col min="3588" max="3588" width="13.453125" style="677" hidden="1"/>
    <col min="3589" max="3589" width="2.1796875" style="677" hidden="1"/>
    <col min="3590" max="3590" width="15" style="677" hidden="1"/>
    <col min="3591" max="3591" width="2.1796875" style="677" hidden="1"/>
    <col min="3592" max="3592" width="11.453125" style="677" hidden="1"/>
    <col min="3593" max="3593" width="2.1796875" style="677" hidden="1"/>
    <col min="3594" max="3594" width="16.54296875" style="677" hidden="1"/>
    <col min="3595" max="3834" width="11.453125" style="677" hidden="1"/>
    <col min="3835" max="3835" width="3.54296875" style="677" hidden="1"/>
    <col min="3836" max="3836" width="15.453125" style="677" hidden="1"/>
    <col min="3837" max="3837" width="34.1796875" style="677" hidden="1"/>
    <col min="3838" max="3838" width="26.1796875" style="677" hidden="1"/>
    <col min="3839" max="3839" width="3.54296875" style="677" hidden="1"/>
    <col min="3840" max="3840" width="2.1796875" style="677" hidden="1"/>
    <col min="3841" max="3841" width="15.81640625" style="677" hidden="1"/>
    <col min="3842" max="3842" width="11.453125" style="677" hidden="1"/>
    <col min="3843" max="3843" width="2.1796875" style="677" hidden="1"/>
    <col min="3844" max="3844" width="13.453125" style="677" hidden="1"/>
    <col min="3845" max="3845" width="2.1796875" style="677" hidden="1"/>
    <col min="3846" max="3846" width="15" style="677" hidden="1"/>
    <col min="3847" max="3847" width="2.1796875" style="677" hidden="1"/>
    <col min="3848" max="3848" width="11.453125" style="677" hidden="1"/>
    <col min="3849" max="3849" width="2.1796875" style="677" hidden="1"/>
    <col min="3850" max="3850" width="16.54296875" style="677" hidden="1"/>
    <col min="3851" max="4090" width="11.453125" style="677" hidden="1"/>
    <col min="4091" max="4091" width="3.54296875" style="677" hidden="1"/>
    <col min="4092" max="4092" width="15.453125" style="677" hidden="1"/>
    <col min="4093" max="4093" width="34.1796875" style="677" hidden="1"/>
    <col min="4094" max="4094" width="26.1796875" style="677" hidden="1"/>
    <col min="4095" max="4095" width="3.54296875" style="677" hidden="1"/>
    <col min="4096" max="4096" width="2.1796875" style="677" hidden="1"/>
    <col min="4097" max="4097" width="15.81640625" style="677" hidden="1"/>
    <col min="4098" max="4098" width="11.453125" style="677" hidden="1"/>
    <col min="4099" max="4099" width="2.1796875" style="677" hidden="1"/>
    <col min="4100" max="4100" width="13.453125" style="677" hidden="1"/>
    <col min="4101" max="4101" width="2.1796875" style="677" hidden="1"/>
    <col min="4102" max="4102" width="15" style="677" hidden="1"/>
    <col min="4103" max="4103" width="2.1796875" style="677" hidden="1"/>
    <col min="4104" max="4104" width="11.453125" style="677" hidden="1"/>
    <col min="4105" max="4105" width="2.1796875" style="677" hidden="1"/>
    <col min="4106" max="4106" width="16.54296875" style="677" hidden="1"/>
    <col min="4107" max="4346" width="11.453125" style="677" hidden="1"/>
    <col min="4347" max="4347" width="3.54296875" style="677" hidden="1"/>
    <col min="4348" max="4348" width="15.453125" style="677" hidden="1"/>
    <col min="4349" max="4349" width="34.1796875" style="677" hidden="1"/>
    <col min="4350" max="4350" width="26.1796875" style="677" hidden="1"/>
    <col min="4351" max="4351" width="3.54296875" style="677" hidden="1"/>
    <col min="4352" max="4352" width="2.1796875" style="677" hidden="1"/>
    <col min="4353" max="4353" width="15.81640625" style="677" hidden="1"/>
    <col min="4354" max="4354" width="11.453125" style="677" hidden="1"/>
    <col min="4355" max="4355" width="2.1796875" style="677" hidden="1"/>
    <col min="4356" max="4356" width="13.453125" style="677" hidden="1"/>
    <col min="4357" max="4357" width="2.1796875" style="677" hidden="1"/>
    <col min="4358" max="4358" width="15" style="677" hidden="1"/>
    <col min="4359" max="4359" width="2.1796875" style="677" hidden="1"/>
    <col min="4360" max="4360" width="11.453125" style="677" hidden="1"/>
    <col min="4361" max="4361" width="2.1796875" style="677" hidden="1"/>
    <col min="4362" max="4362" width="16.54296875" style="677" hidden="1"/>
    <col min="4363" max="4602" width="11.453125" style="677" hidden="1"/>
    <col min="4603" max="4603" width="3.54296875" style="677" hidden="1"/>
    <col min="4604" max="4604" width="15.453125" style="677" hidden="1"/>
    <col min="4605" max="4605" width="34.1796875" style="677" hidden="1"/>
    <col min="4606" max="4606" width="26.1796875" style="677" hidden="1"/>
    <col min="4607" max="4607" width="3.54296875" style="677" hidden="1"/>
    <col min="4608" max="4608" width="2.1796875" style="677" hidden="1"/>
    <col min="4609" max="4609" width="15.81640625" style="677" hidden="1"/>
    <col min="4610" max="4610" width="11.453125" style="677" hidden="1"/>
    <col min="4611" max="4611" width="2.1796875" style="677" hidden="1"/>
    <col min="4612" max="4612" width="13.453125" style="677" hidden="1"/>
    <col min="4613" max="4613" width="2.1796875" style="677" hidden="1"/>
    <col min="4614" max="4614" width="15" style="677" hidden="1"/>
    <col min="4615" max="4615" width="2.1796875" style="677" hidden="1"/>
    <col min="4616" max="4616" width="11.453125" style="677" hidden="1"/>
    <col min="4617" max="4617" width="2.1796875" style="677" hidden="1"/>
    <col min="4618" max="4618" width="16.54296875" style="677" hidden="1"/>
    <col min="4619" max="4858" width="11.453125" style="677" hidden="1"/>
    <col min="4859" max="4859" width="3.54296875" style="677" hidden="1"/>
    <col min="4860" max="4860" width="15.453125" style="677" hidden="1"/>
    <col min="4861" max="4861" width="34.1796875" style="677" hidden="1"/>
    <col min="4862" max="4862" width="26.1796875" style="677" hidden="1"/>
    <col min="4863" max="4863" width="3.54296875" style="677" hidden="1"/>
    <col min="4864" max="4864" width="2.1796875" style="677" hidden="1"/>
    <col min="4865" max="4865" width="15.81640625" style="677" hidden="1"/>
    <col min="4866" max="4866" width="11.453125" style="677" hidden="1"/>
    <col min="4867" max="4867" width="2.1796875" style="677" hidden="1"/>
    <col min="4868" max="4868" width="13.453125" style="677" hidden="1"/>
    <col min="4869" max="4869" width="2.1796875" style="677" hidden="1"/>
    <col min="4870" max="4870" width="15" style="677" hidden="1"/>
    <col min="4871" max="4871" width="2.1796875" style="677" hidden="1"/>
    <col min="4872" max="4872" width="11.453125" style="677" hidden="1"/>
    <col min="4873" max="4873" width="2.1796875" style="677" hidden="1"/>
    <col min="4874" max="4874" width="16.54296875" style="677" hidden="1"/>
    <col min="4875" max="5114" width="11.453125" style="677" hidden="1"/>
    <col min="5115" max="5115" width="3.54296875" style="677" hidden="1"/>
    <col min="5116" max="5116" width="15.453125" style="677" hidden="1"/>
    <col min="5117" max="5117" width="34.1796875" style="677" hidden="1"/>
    <col min="5118" max="5118" width="26.1796875" style="677" hidden="1"/>
    <col min="5119" max="5119" width="3.54296875" style="677" hidden="1"/>
    <col min="5120" max="5120" width="2.1796875" style="677" hidden="1"/>
    <col min="5121" max="5121" width="15.81640625" style="677" hidden="1"/>
    <col min="5122" max="5122" width="11.453125" style="677" hidden="1"/>
    <col min="5123" max="5123" width="2.1796875" style="677" hidden="1"/>
    <col min="5124" max="5124" width="13.453125" style="677" hidden="1"/>
    <col min="5125" max="5125" width="2.1796875" style="677" hidden="1"/>
    <col min="5126" max="5126" width="15" style="677" hidden="1"/>
    <col min="5127" max="5127" width="2.1796875" style="677" hidden="1"/>
    <col min="5128" max="5128" width="11.453125" style="677" hidden="1"/>
    <col min="5129" max="5129" width="2.1796875" style="677" hidden="1"/>
    <col min="5130" max="5130" width="16.54296875" style="677" hidden="1"/>
    <col min="5131" max="5370" width="11.453125" style="677" hidden="1"/>
    <col min="5371" max="5371" width="3.54296875" style="677" hidden="1"/>
    <col min="5372" max="5372" width="15.453125" style="677" hidden="1"/>
    <col min="5373" max="5373" width="34.1796875" style="677" hidden="1"/>
    <col min="5374" max="5374" width="26.1796875" style="677" hidden="1"/>
    <col min="5375" max="5375" width="3.54296875" style="677" hidden="1"/>
    <col min="5376" max="5376" width="2.1796875" style="677" hidden="1"/>
    <col min="5377" max="5377" width="15.81640625" style="677" hidden="1"/>
    <col min="5378" max="5378" width="11.453125" style="677" hidden="1"/>
    <col min="5379" max="5379" width="2.1796875" style="677" hidden="1"/>
    <col min="5380" max="5380" width="13.453125" style="677" hidden="1"/>
    <col min="5381" max="5381" width="2.1796875" style="677" hidden="1"/>
    <col min="5382" max="5382" width="15" style="677" hidden="1"/>
    <col min="5383" max="5383" width="2.1796875" style="677" hidden="1"/>
    <col min="5384" max="5384" width="11.453125" style="677" hidden="1"/>
    <col min="5385" max="5385" width="2.1796875" style="677" hidden="1"/>
    <col min="5386" max="5386" width="16.54296875" style="677" hidden="1"/>
    <col min="5387" max="5626" width="11.453125" style="677" hidden="1"/>
    <col min="5627" max="5627" width="3.54296875" style="677" hidden="1"/>
    <col min="5628" max="5628" width="15.453125" style="677" hidden="1"/>
    <col min="5629" max="5629" width="34.1796875" style="677" hidden="1"/>
    <col min="5630" max="5630" width="26.1796875" style="677" hidden="1"/>
    <col min="5631" max="5631" width="3.54296875" style="677" hidden="1"/>
    <col min="5632" max="5632" width="2.1796875" style="677" hidden="1"/>
    <col min="5633" max="5633" width="15.81640625" style="677" hidden="1"/>
    <col min="5634" max="5634" width="11.453125" style="677" hidden="1"/>
    <col min="5635" max="5635" width="2.1796875" style="677" hidden="1"/>
    <col min="5636" max="5636" width="13.453125" style="677" hidden="1"/>
    <col min="5637" max="5637" width="2.1796875" style="677" hidden="1"/>
    <col min="5638" max="5638" width="15" style="677" hidden="1"/>
    <col min="5639" max="5639" width="2.1796875" style="677" hidden="1"/>
    <col min="5640" max="5640" width="11.453125" style="677" hidden="1"/>
    <col min="5641" max="5641" width="2.1796875" style="677" hidden="1"/>
    <col min="5642" max="5642" width="16.54296875" style="677" hidden="1"/>
    <col min="5643" max="5882" width="11.453125" style="677" hidden="1"/>
    <col min="5883" max="5883" width="3.54296875" style="677" hidden="1"/>
    <col min="5884" max="5884" width="15.453125" style="677" hidden="1"/>
    <col min="5885" max="5885" width="34.1796875" style="677" hidden="1"/>
    <col min="5886" max="5886" width="26.1796875" style="677" hidden="1"/>
    <col min="5887" max="5887" width="3.54296875" style="677" hidden="1"/>
    <col min="5888" max="5888" width="2.1796875" style="677" hidden="1"/>
    <col min="5889" max="5889" width="15.81640625" style="677" hidden="1"/>
    <col min="5890" max="5890" width="11.453125" style="677" hidden="1"/>
    <col min="5891" max="5891" width="2.1796875" style="677" hidden="1"/>
    <col min="5892" max="5892" width="13.453125" style="677" hidden="1"/>
    <col min="5893" max="5893" width="2.1796875" style="677" hidden="1"/>
    <col min="5894" max="5894" width="15" style="677" hidden="1"/>
    <col min="5895" max="5895" width="2.1796875" style="677" hidden="1"/>
    <col min="5896" max="5896" width="11.453125" style="677" hidden="1"/>
    <col min="5897" max="5897" width="2.1796875" style="677" hidden="1"/>
    <col min="5898" max="5898" width="16.54296875" style="677" hidden="1"/>
    <col min="5899" max="6138" width="11.453125" style="677" hidden="1"/>
    <col min="6139" max="6139" width="3.54296875" style="677" hidden="1"/>
    <col min="6140" max="6140" width="15.453125" style="677" hidden="1"/>
    <col min="6141" max="6141" width="34.1796875" style="677" hidden="1"/>
    <col min="6142" max="6142" width="26.1796875" style="677" hidden="1"/>
    <col min="6143" max="6143" width="3.54296875" style="677" hidden="1"/>
    <col min="6144" max="6144" width="2.1796875" style="677" hidden="1"/>
    <col min="6145" max="6145" width="15.81640625" style="677" hidden="1"/>
    <col min="6146" max="6146" width="11.453125" style="677" hidden="1"/>
    <col min="6147" max="6147" width="2.1796875" style="677" hidden="1"/>
    <col min="6148" max="6148" width="13.453125" style="677" hidden="1"/>
    <col min="6149" max="6149" width="2.1796875" style="677" hidden="1"/>
    <col min="6150" max="6150" width="15" style="677" hidden="1"/>
    <col min="6151" max="6151" width="2.1796875" style="677" hidden="1"/>
    <col min="6152" max="6152" width="11.453125" style="677" hidden="1"/>
    <col min="6153" max="6153" width="2.1796875" style="677" hidden="1"/>
    <col min="6154" max="6154" width="16.54296875" style="677" hidden="1"/>
    <col min="6155" max="6394" width="11.453125" style="677" hidden="1"/>
    <col min="6395" max="6395" width="3.54296875" style="677" hidden="1"/>
    <col min="6396" max="6396" width="15.453125" style="677" hidden="1"/>
    <col min="6397" max="6397" width="34.1796875" style="677" hidden="1"/>
    <col min="6398" max="6398" width="26.1796875" style="677" hidden="1"/>
    <col min="6399" max="6399" width="3.54296875" style="677" hidden="1"/>
    <col min="6400" max="6400" width="2.1796875" style="677" hidden="1"/>
    <col min="6401" max="6401" width="15.81640625" style="677" hidden="1"/>
    <col min="6402" max="6402" width="11.453125" style="677" hidden="1"/>
    <col min="6403" max="6403" width="2.1796875" style="677" hidden="1"/>
    <col min="6404" max="6404" width="13.453125" style="677" hidden="1"/>
    <col min="6405" max="6405" width="2.1796875" style="677" hidden="1"/>
    <col min="6406" max="6406" width="15" style="677" hidden="1"/>
    <col min="6407" max="6407" width="2.1796875" style="677" hidden="1"/>
    <col min="6408" max="6408" width="11.453125" style="677" hidden="1"/>
    <col min="6409" max="6409" width="2.1796875" style="677" hidden="1"/>
    <col min="6410" max="6410" width="16.54296875" style="677" hidden="1"/>
    <col min="6411" max="6650" width="11.453125" style="677" hidden="1"/>
    <col min="6651" max="6651" width="3.54296875" style="677" hidden="1"/>
    <col min="6652" max="6652" width="15.453125" style="677" hidden="1"/>
    <col min="6653" max="6653" width="34.1796875" style="677" hidden="1"/>
    <col min="6654" max="6654" width="26.1796875" style="677" hidden="1"/>
    <col min="6655" max="6655" width="3.54296875" style="677" hidden="1"/>
    <col min="6656" max="6656" width="2.1796875" style="677" hidden="1"/>
    <col min="6657" max="6657" width="15.81640625" style="677" hidden="1"/>
    <col min="6658" max="6658" width="11.453125" style="677" hidden="1"/>
    <col min="6659" max="6659" width="2.1796875" style="677" hidden="1"/>
    <col min="6660" max="6660" width="13.453125" style="677" hidden="1"/>
    <col min="6661" max="6661" width="2.1796875" style="677" hidden="1"/>
    <col min="6662" max="6662" width="15" style="677" hidden="1"/>
    <col min="6663" max="6663" width="2.1796875" style="677" hidden="1"/>
    <col min="6664" max="6664" width="11.453125" style="677" hidden="1"/>
    <col min="6665" max="6665" width="2.1796875" style="677" hidden="1"/>
    <col min="6666" max="6666" width="16.54296875" style="677" hidden="1"/>
    <col min="6667" max="6906" width="11.453125" style="677" hidden="1"/>
    <col min="6907" max="6907" width="3.54296875" style="677" hidden="1"/>
    <col min="6908" max="6908" width="15.453125" style="677" hidden="1"/>
    <col min="6909" max="6909" width="34.1796875" style="677" hidden="1"/>
    <col min="6910" max="6910" width="26.1796875" style="677" hidden="1"/>
    <col min="6911" max="6911" width="3.54296875" style="677" hidden="1"/>
    <col min="6912" max="6912" width="2.1796875" style="677" hidden="1"/>
    <col min="6913" max="6913" width="15.81640625" style="677" hidden="1"/>
    <col min="6914" max="6914" width="11.453125" style="677" hidden="1"/>
    <col min="6915" max="6915" width="2.1796875" style="677" hidden="1"/>
    <col min="6916" max="6916" width="13.453125" style="677" hidden="1"/>
    <col min="6917" max="6917" width="2.1796875" style="677" hidden="1"/>
    <col min="6918" max="6918" width="15" style="677" hidden="1"/>
    <col min="6919" max="6919" width="2.1796875" style="677" hidden="1"/>
    <col min="6920" max="6920" width="11.453125" style="677" hidden="1"/>
    <col min="6921" max="6921" width="2.1796875" style="677" hidden="1"/>
    <col min="6922" max="6922" width="16.54296875" style="677" hidden="1"/>
    <col min="6923" max="7162" width="11.453125" style="677" hidden="1"/>
    <col min="7163" max="7163" width="3.54296875" style="677" hidden="1"/>
    <col min="7164" max="7164" width="15.453125" style="677" hidden="1"/>
    <col min="7165" max="7165" width="34.1796875" style="677" hidden="1"/>
    <col min="7166" max="7166" width="26.1796875" style="677" hidden="1"/>
    <col min="7167" max="7167" width="3.54296875" style="677" hidden="1"/>
    <col min="7168" max="7168" width="2.1796875" style="677" hidden="1"/>
    <col min="7169" max="7169" width="15.81640625" style="677" hidden="1"/>
    <col min="7170" max="7170" width="11.453125" style="677" hidden="1"/>
    <col min="7171" max="7171" width="2.1796875" style="677" hidden="1"/>
    <col min="7172" max="7172" width="13.453125" style="677" hidden="1"/>
    <col min="7173" max="7173" width="2.1796875" style="677" hidden="1"/>
    <col min="7174" max="7174" width="15" style="677" hidden="1"/>
    <col min="7175" max="7175" width="2.1796875" style="677" hidden="1"/>
    <col min="7176" max="7176" width="11.453125" style="677" hidden="1"/>
    <col min="7177" max="7177" width="2.1796875" style="677" hidden="1"/>
    <col min="7178" max="7178" width="16.54296875" style="677" hidden="1"/>
    <col min="7179" max="7418" width="11.453125" style="677" hidden="1"/>
    <col min="7419" max="7419" width="3.54296875" style="677" hidden="1"/>
    <col min="7420" max="7420" width="15.453125" style="677" hidden="1"/>
    <col min="7421" max="7421" width="34.1796875" style="677" hidden="1"/>
    <col min="7422" max="7422" width="26.1796875" style="677" hidden="1"/>
    <col min="7423" max="7423" width="3.54296875" style="677" hidden="1"/>
    <col min="7424" max="7424" width="2.1796875" style="677" hidden="1"/>
    <col min="7425" max="7425" width="15.81640625" style="677" hidden="1"/>
    <col min="7426" max="7426" width="11.453125" style="677" hidden="1"/>
    <col min="7427" max="7427" width="2.1796875" style="677" hidden="1"/>
    <col min="7428" max="7428" width="13.453125" style="677" hidden="1"/>
    <col min="7429" max="7429" width="2.1796875" style="677" hidden="1"/>
    <col min="7430" max="7430" width="15" style="677" hidden="1"/>
    <col min="7431" max="7431" width="2.1796875" style="677" hidden="1"/>
    <col min="7432" max="7432" width="11.453125" style="677" hidden="1"/>
    <col min="7433" max="7433" width="2.1796875" style="677" hidden="1"/>
    <col min="7434" max="7434" width="16.54296875" style="677" hidden="1"/>
    <col min="7435" max="7674" width="11.453125" style="677" hidden="1"/>
    <col min="7675" max="7675" width="3.54296875" style="677" hidden="1"/>
    <col min="7676" max="7676" width="15.453125" style="677" hidden="1"/>
    <col min="7677" max="7677" width="34.1796875" style="677" hidden="1"/>
    <col min="7678" max="7678" width="26.1796875" style="677" hidden="1"/>
    <col min="7679" max="7679" width="3.54296875" style="677" hidden="1"/>
    <col min="7680" max="7680" width="2.1796875" style="677" hidden="1"/>
    <col min="7681" max="7681" width="15.81640625" style="677" hidden="1"/>
    <col min="7682" max="7682" width="11.453125" style="677" hidden="1"/>
    <col min="7683" max="7683" width="2.1796875" style="677" hidden="1"/>
    <col min="7684" max="7684" width="13.453125" style="677" hidden="1"/>
    <col min="7685" max="7685" width="2.1796875" style="677" hidden="1"/>
    <col min="7686" max="7686" width="15" style="677" hidden="1"/>
    <col min="7687" max="7687" width="2.1796875" style="677" hidden="1"/>
    <col min="7688" max="7688" width="11.453125" style="677" hidden="1"/>
    <col min="7689" max="7689" width="2.1796875" style="677" hidden="1"/>
    <col min="7690" max="7690" width="16.54296875" style="677" hidden="1"/>
    <col min="7691" max="7930" width="11.453125" style="677" hidden="1"/>
    <col min="7931" max="7931" width="3.54296875" style="677" hidden="1"/>
    <col min="7932" max="7932" width="15.453125" style="677" hidden="1"/>
    <col min="7933" max="7933" width="34.1796875" style="677" hidden="1"/>
    <col min="7934" max="7934" width="26.1796875" style="677" hidden="1"/>
    <col min="7935" max="7935" width="3.54296875" style="677" hidden="1"/>
    <col min="7936" max="7936" width="2.1796875" style="677" hidden="1"/>
    <col min="7937" max="7937" width="15.81640625" style="677" hidden="1"/>
    <col min="7938" max="7938" width="11.453125" style="677" hidden="1"/>
    <col min="7939" max="7939" width="2.1796875" style="677" hidden="1"/>
    <col min="7940" max="7940" width="13.453125" style="677" hidden="1"/>
    <col min="7941" max="7941" width="2.1796875" style="677" hidden="1"/>
    <col min="7942" max="7942" width="15" style="677" hidden="1"/>
    <col min="7943" max="7943" width="2.1796875" style="677" hidden="1"/>
    <col min="7944" max="7944" width="11.453125" style="677" hidden="1"/>
    <col min="7945" max="7945" width="2.1796875" style="677" hidden="1"/>
    <col min="7946" max="7946" width="16.54296875" style="677" hidden="1"/>
    <col min="7947" max="8186" width="11.453125" style="677" hidden="1"/>
    <col min="8187" max="8187" width="3.54296875" style="677" hidden="1"/>
    <col min="8188" max="8188" width="15.453125" style="677" hidden="1"/>
    <col min="8189" max="8189" width="34.1796875" style="677" hidden="1"/>
    <col min="8190" max="8190" width="26.1796875" style="677" hidden="1"/>
    <col min="8191" max="8191" width="3.54296875" style="677" hidden="1"/>
    <col min="8192" max="8192" width="2.1796875" style="677" hidden="1"/>
    <col min="8193" max="8193" width="15.81640625" style="677" hidden="1"/>
    <col min="8194" max="8194" width="11.453125" style="677" hidden="1"/>
    <col min="8195" max="8195" width="2.1796875" style="677" hidden="1"/>
    <col min="8196" max="8196" width="13.453125" style="677" hidden="1"/>
    <col min="8197" max="8197" width="2.1796875" style="677" hidden="1"/>
    <col min="8198" max="8198" width="15" style="677" hidden="1"/>
    <col min="8199" max="8199" width="2.1796875" style="677" hidden="1"/>
    <col min="8200" max="8200" width="11.453125" style="677" hidden="1"/>
    <col min="8201" max="8201" width="2.1796875" style="677" hidden="1"/>
    <col min="8202" max="8202" width="16.54296875" style="677" hidden="1"/>
    <col min="8203" max="8442" width="11.453125" style="677" hidden="1"/>
    <col min="8443" max="8443" width="3.54296875" style="677" hidden="1"/>
    <col min="8444" max="8444" width="15.453125" style="677" hidden="1"/>
    <col min="8445" max="8445" width="34.1796875" style="677" hidden="1"/>
    <col min="8446" max="8446" width="26.1796875" style="677" hidden="1"/>
    <col min="8447" max="8447" width="3.54296875" style="677" hidden="1"/>
    <col min="8448" max="8448" width="2.1796875" style="677" hidden="1"/>
    <col min="8449" max="8449" width="15.81640625" style="677" hidden="1"/>
    <col min="8450" max="8450" width="11.453125" style="677" hidden="1"/>
    <col min="8451" max="8451" width="2.1796875" style="677" hidden="1"/>
    <col min="8452" max="8452" width="13.453125" style="677" hidden="1"/>
    <col min="8453" max="8453" width="2.1796875" style="677" hidden="1"/>
    <col min="8454" max="8454" width="15" style="677" hidden="1"/>
    <col min="8455" max="8455" width="2.1796875" style="677" hidden="1"/>
    <col min="8456" max="8456" width="11.453125" style="677" hidden="1"/>
    <col min="8457" max="8457" width="2.1796875" style="677" hidden="1"/>
    <col min="8458" max="8458" width="16.54296875" style="677" hidden="1"/>
    <col min="8459" max="8698" width="11.453125" style="677" hidden="1"/>
    <col min="8699" max="8699" width="3.54296875" style="677" hidden="1"/>
    <col min="8700" max="8700" width="15.453125" style="677" hidden="1"/>
    <col min="8701" max="8701" width="34.1796875" style="677" hidden="1"/>
    <col min="8702" max="8702" width="26.1796875" style="677" hidden="1"/>
    <col min="8703" max="8703" width="3.54296875" style="677" hidden="1"/>
    <col min="8704" max="8704" width="2.1796875" style="677" hidden="1"/>
    <col min="8705" max="8705" width="15.81640625" style="677" hidden="1"/>
    <col min="8706" max="8706" width="11.453125" style="677" hidden="1"/>
    <col min="8707" max="8707" width="2.1796875" style="677" hidden="1"/>
    <col min="8708" max="8708" width="13.453125" style="677" hidden="1"/>
    <col min="8709" max="8709" width="2.1796875" style="677" hidden="1"/>
    <col min="8710" max="8710" width="15" style="677" hidden="1"/>
    <col min="8711" max="8711" width="2.1796875" style="677" hidden="1"/>
    <col min="8712" max="8712" width="11.453125" style="677" hidden="1"/>
    <col min="8713" max="8713" width="2.1796875" style="677" hidden="1"/>
    <col min="8714" max="8714" width="16.54296875" style="677" hidden="1"/>
    <col min="8715" max="8954" width="11.453125" style="677" hidden="1"/>
    <col min="8955" max="8955" width="3.54296875" style="677" hidden="1"/>
    <col min="8956" max="8956" width="15.453125" style="677" hidden="1"/>
    <col min="8957" max="8957" width="34.1796875" style="677" hidden="1"/>
    <col min="8958" max="8958" width="26.1796875" style="677" hidden="1"/>
    <col min="8959" max="8959" width="3.54296875" style="677" hidden="1"/>
    <col min="8960" max="8960" width="2.1796875" style="677" hidden="1"/>
    <col min="8961" max="8961" width="15.81640625" style="677" hidden="1"/>
    <col min="8962" max="8962" width="11.453125" style="677" hidden="1"/>
    <col min="8963" max="8963" width="2.1796875" style="677" hidden="1"/>
    <col min="8964" max="8964" width="13.453125" style="677" hidden="1"/>
    <col min="8965" max="8965" width="2.1796875" style="677" hidden="1"/>
    <col min="8966" max="8966" width="15" style="677" hidden="1"/>
    <col min="8967" max="8967" width="2.1796875" style="677" hidden="1"/>
    <col min="8968" max="8968" width="11.453125" style="677" hidden="1"/>
    <col min="8969" max="8969" width="2.1796875" style="677" hidden="1"/>
    <col min="8970" max="8970" width="16.54296875" style="677" hidden="1"/>
    <col min="8971" max="9210" width="11.453125" style="677" hidden="1"/>
    <col min="9211" max="9211" width="3.54296875" style="677" hidden="1"/>
    <col min="9212" max="9212" width="15.453125" style="677" hidden="1"/>
    <col min="9213" max="9213" width="34.1796875" style="677" hidden="1"/>
    <col min="9214" max="9214" width="26.1796875" style="677" hidden="1"/>
    <col min="9215" max="9215" width="3.54296875" style="677" hidden="1"/>
    <col min="9216" max="9216" width="2.1796875" style="677" hidden="1"/>
    <col min="9217" max="9217" width="15.81640625" style="677" hidden="1"/>
    <col min="9218" max="9218" width="11.453125" style="677" hidden="1"/>
    <col min="9219" max="9219" width="2.1796875" style="677" hidden="1"/>
    <col min="9220" max="9220" width="13.453125" style="677" hidden="1"/>
    <col min="9221" max="9221" width="2.1796875" style="677" hidden="1"/>
    <col min="9222" max="9222" width="15" style="677" hidden="1"/>
    <col min="9223" max="9223" width="2.1796875" style="677" hidden="1"/>
    <col min="9224" max="9224" width="11.453125" style="677" hidden="1"/>
    <col min="9225" max="9225" width="2.1796875" style="677" hidden="1"/>
    <col min="9226" max="9226" width="16.54296875" style="677" hidden="1"/>
    <col min="9227" max="9466" width="11.453125" style="677" hidden="1"/>
    <col min="9467" max="9467" width="3.54296875" style="677" hidden="1"/>
    <col min="9468" max="9468" width="15.453125" style="677" hidden="1"/>
    <col min="9469" max="9469" width="34.1796875" style="677" hidden="1"/>
    <col min="9470" max="9470" width="26.1796875" style="677" hidden="1"/>
    <col min="9471" max="9471" width="3.54296875" style="677" hidden="1"/>
    <col min="9472" max="9472" width="2.1796875" style="677" hidden="1"/>
    <col min="9473" max="9473" width="15.81640625" style="677" hidden="1"/>
    <col min="9474" max="9474" width="11.453125" style="677" hidden="1"/>
    <col min="9475" max="9475" width="2.1796875" style="677" hidden="1"/>
    <col min="9476" max="9476" width="13.453125" style="677" hidden="1"/>
    <col min="9477" max="9477" width="2.1796875" style="677" hidden="1"/>
    <col min="9478" max="9478" width="15" style="677" hidden="1"/>
    <col min="9479" max="9479" width="2.1796875" style="677" hidden="1"/>
    <col min="9480" max="9480" width="11.453125" style="677" hidden="1"/>
    <col min="9481" max="9481" width="2.1796875" style="677" hidden="1"/>
    <col min="9482" max="9482" width="16.54296875" style="677" hidden="1"/>
    <col min="9483" max="9722" width="11.453125" style="677" hidden="1"/>
    <col min="9723" max="9723" width="3.54296875" style="677" hidden="1"/>
    <col min="9724" max="9724" width="15.453125" style="677" hidden="1"/>
    <col min="9725" max="9725" width="34.1796875" style="677" hidden="1"/>
    <col min="9726" max="9726" width="26.1796875" style="677" hidden="1"/>
    <col min="9727" max="9727" width="3.54296875" style="677" hidden="1"/>
    <col min="9728" max="9728" width="2.1796875" style="677" hidden="1"/>
    <col min="9729" max="9729" width="15.81640625" style="677" hidden="1"/>
    <col min="9730" max="9730" width="11.453125" style="677" hidden="1"/>
    <col min="9731" max="9731" width="2.1796875" style="677" hidden="1"/>
    <col min="9732" max="9732" width="13.453125" style="677" hidden="1"/>
    <col min="9733" max="9733" width="2.1796875" style="677" hidden="1"/>
    <col min="9734" max="9734" width="15" style="677" hidden="1"/>
    <col min="9735" max="9735" width="2.1796875" style="677" hidden="1"/>
    <col min="9736" max="9736" width="11.453125" style="677" hidden="1"/>
    <col min="9737" max="9737" width="2.1796875" style="677" hidden="1"/>
    <col min="9738" max="9738" width="16.54296875" style="677" hidden="1"/>
    <col min="9739" max="9978" width="11.453125" style="677" hidden="1"/>
    <col min="9979" max="9979" width="3.54296875" style="677" hidden="1"/>
    <col min="9980" max="9980" width="15.453125" style="677" hidden="1"/>
    <col min="9981" max="9981" width="34.1796875" style="677" hidden="1"/>
    <col min="9982" max="9982" width="26.1796875" style="677" hidden="1"/>
    <col min="9983" max="9983" width="3.54296875" style="677" hidden="1"/>
    <col min="9984" max="9984" width="2.1796875" style="677" hidden="1"/>
    <col min="9985" max="9985" width="15.81640625" style="677" hidden="1"/>
    <col min="9986" max="9986" width="11.453125" style="677" hidden="1"/>
    <col min="9987" max="9987" width="2.1796875" style="677" hidden="1"/>
    <col min="9988" max="9988" width="13.453125" style="677" hidden="1"/>
    <col min="9989" max="9989" width="2.1796875" style="677" hidden="1"/>
    <col min="9990" max="9990" width="15" style="677" hidden="1"/>
    <col min="9991" max="9991" width="2.1796875" style="677" hidden="1"/>
    <col min="9992" max="9992" width="11.453125" style="677" hidden="1"/>
    <col min="9993" max="9993" width="2.1796875" style="677" hidden="1"/>
    <col min="9994" max="9994" width="16.54296875" style="677" hidden="1"/>
    <col min="9995" max="10234" width="11.453125" style="677" hidden="1"/>
    <col min="10235" max="10235" width="3.54296875" style="677" hidden="1"/>
    <col min="10236" max="10236" width="15.453125" style="677" hidden="1"/>
    <col min="10237" max="10237" width="34.1796875" style="677" hidden="1"/>
    <col min="10238" max="10238" width="26.1796875" style="677" hidden="1"/>
    <col min="10239" max="10239" width="3.54296875" style="677" hidden="1"/>
    <col min="10240" max="10240" width="2.1796875" style="677" hidden="1"/>
    <col min="10241" max="10241" width="15.81640625" style="677" hidden="1"/>
    <col min="10242" max="10242" width="11.453125" style="677" hidden="1"/>
    <col min="10243" max="10243" width="2.1796875" style="677" hidden="1"/>
    <col min="10244" max="10244" width="13.453125" style="677" hidden="1"/>
    <col min="10245" max="10245" width="2.1796875" style="677" hidden="1"/>
    <col min="10246" max="10246" width="15" style="677" hidden="1"/>
    <col min="10247" max="10247" width="2.1796875" style="677" hidden="1"/>
    <col min="10248" max="10248" width="11.453125" style="677" hidden="1"/>
    <col min="10249" max="10249" width="2.1796875" style="677" hidden="1"/>
    <col min="10250" max="10250" width="16.54296875" style="677" hidden="1"/>
    <col min="10251" max="10490" width="11.453125" style="677" hidden="1"/>
    <col min="10491" max="10491" width="3.54296875" style="677" hidden="1"/>
    <col min="10492" max="10492" width="15.453125" style="677" hidden="1"/>
    <col min="10493" max="10493" width="34.1796875" style="677" hidden="1"/>
    <col min="10494" max="10494" width="26.1796875" style="677" hidden="1"/>
    <col min="10495" max="10495" width="3.54296875" style="677" hidden="1"/>
    <col min="10496" max="10496" width="2.1796875" style="677" hidden="1"/>
    <col min="10497" max="10497" width="15.81640625" style="677" hidden="1"/>
    <col min="10498" max="10498" width="11.453125" style="677" hidden="1"/>
    <col min="10499" max="10499" width="2.1796875" style="677" hidden="1"/>
    <col min="10500" max="10500" width="13.453125" style="677" hidden="1"/>
    <col min="10501" max="10501" width="2.1796875" style="677" hidden="1"/>
    <col min="10502" max="10502" width="15" style="677" hidden="1"/>
    <col min="10503" max="10503" width="2.1796875" style="677" hidden="1"/>
    <col min="10504" max="10504" width="11.453125" style="677" hidden="1"/>
    <col min="10505" max="10505" width="2.1796875" style="677" hidden="1"/>
    <col min="10506" max="10506" width="16.54296875" style="677" hidden="1"/>
    <col min="10507" max="10746" width="11.453125" style="677" hidden="1"/>
    <col min="10747" max="10747" width="3.54296875" style="677" hidden="1"/>
    <col min="10748" max="10748" width="15.453125" style="677" hidden="1"/>
    <col min="10749" max="10749" width="34.1796875" style="677" hidden="1"/>
    <col min="10750" max="10750" width="26.1796875" style="677" hidden="1"/>
    <col min="10751" max="10751" width="3.54296875" style="677" hidden="1"/>
    <col min="10752" max="10752" width="2.1796875" style="677" hidden="1"/>
    <col min="10753" max="10753" width="15.81640625" style="677" hidden="1"/>
    <col min="10754" max="10754" width="11.453125" style="677" hidden="1"/>
    <col min="10755" max="10755" width="2.1796875" style="677" hidden="1"/>
    <col min="10756" max="10756" width="13.453125" style="677" hidden="1"/>
    <col min="10757" max="10757" width="2.1796875" style="677" hidden="1"/>
    <col min="10758" max="10758" width="15" style="677" hidden="1"/>
    <col min="10759" max="10759" width="2.1796875" style="677" hidden="1"/>
    <col min="10760" max="10760" width="11.453125" style="677" hidden="1"/>
    <col min="10761" max="10761" width="2.1796875" style="677" hidden="1"/>
    <col min="10762" max="10762" width="16.54296875" style="677" hidden="1"/>
    <col min="10763" max="11002" width="11.453125" style="677" hidden="1"/>
    <col min="11003" max="11003" width="3.54296875" style="677" hidden="1"/>
    <col min="11004" max="11004" width="15.453125" style="677" hidden="1"/>
    <col min="11005" max="11005" width="34.1796875" style="677" hidden="1"/>
    <col min="11006" max="11006" width="26.1796875" style="677" hidden="1"/>
    <col min="11007" max="11007" width="3.54296875" style="677" hidden="1"/>
    <col min="11008" max="11008" width="2.1796875" style="677" hidden="1"/>
    <col min="11009" max="11009" width="15.81640625" style="677" hidden="1"/>
    <col min="11010" max="11010" width="11.453125" style="677" hidden="1"/>
    <col min="11011" max="11011" width="2.1796875" style="677" hidden="1"/>
    <col min="11012" max="11012" width="13.453125" style="677" hidden="1"/>
    <col min="11013" max="11013" width="2.1796875" style="677" hidden="1"/>
    <col min="11014" max="11014" width="15" style="677" hidden="1"/>
    <col min="11015" max="11015" width="2.1796875" style="677" hidden="1"/>
    <col min="11016" max="11016" width="11.453125" style="677" hidden="1"/>
    <col min="11017" max="11017" width="2.1796875" style="677" hidden="1"/>
    <col min="11018" max="11018" width="16.54296875" style="677" hidden="1"/>
    <col min="11019" max="11258" width="11.453125" style="677" hidden="1"/>
    <col min="11259" max="11259" width="3.54296875" style="677" hidden="1"/>
    <col min="11260" max="11260" width="15.453125" style="677" hidden="1"/>
    <col min="11261" max="11261" width="34.1796875" style="677" hidden="1"/>
    <col min="11262" max="11262" width="26.1796875" style="677" hidden="1"/>
    <col min="11263" max="11263" width="3.54296875" style="677" hidden="1"/>
    <col min="11264" max="11264" width="2.1796875" style="677" hidden="1"/>
    <col min="11265" max="11265" width="15.81640625" style="677" hidden="1"/>
    <col min="11266" max="11266" width="11.453125" style="677" hidden="1"/>
    <col min="11267" max="11267" width="2.1796875" style="677" hidden="1"/>
    <col min="11268" max="11268" width="13.453125" style="677" hidden="1"/>
    <col min="11269" max="11269" width="2.1796875" style="677" hidden="1"/>
    <col min="11270" max="11270" width="15" style="677" hidden="1"/>
    <col min="11271" max="11271" width="2.1796875" style="677" hidden="1"/>
    <col min="11272" max="11272" width="11.453125" style="677" hidden="1"/>
    <col min="11273" max="11273" width="2.1796875" style="677" hidden="1"/>
    <col min="11274" max="11274" width="16.54296875" style="677" hidden="1"/>
    <col min="11275" max="11514" width="11.453125" style="677" hidden="1"/>
    <col min="11515" max="11515" width="3.54296875" style="677" hidden="1"/>
    <col min="11516" max="11516" width="15.453125" style="677" hidden="1"/>
    <col min="11517" max="11517" width="34.1796875" style="677" hidden="1"/>
    <col min="11518" max="11518" width="26.1796875" style="677" hidden="1"/>
    <col min="11519" max="11519" width="3.54296875" style="677" hidden="1"/>
    <col min="11520" max="11520" width="2.1796875" style="677" hidden="1"/>
    <col min="11521" max="11521" width="15.81640625" style="677" hidden="1"/>
    <col min="11522" max="11522" width="11.453125" style="677" hidden="1"/>
    <col min="11523" max="11523" width="2.1796875" style="677" hidden="1"/>
    <col min="11524" max="11524" width="13.453125" style="677" hidden="1"/>
    <col min="11525" max="11525" width="2.1796875" style="677" hidden="1"/>
    <col min="11526" max="11526" width="15" style="677" hidden="1"/>
    <col min="11527" max="11527" width="2.1796875" style="677" hidden="1"/>
    <col min="11528" max="11528" width="11.453125" style="677" hidden="1"/>
    <col min="11529" max="11529" width="2.1796875" style="677" hidden="1"/>
    <col min="11530" max="11530" width="16.54296875" style="677" hidden="1"/>
    <col min="11531" max="11770" width="11.453125" style="677" hidden="1"/>
    <col min="11771" max="11771" width="3.54296875" style="677" hidden="1"/>
    <col min="11772" max="11772" width="15.453125" style="677" hidden="1"/>
    <col min="11773" max="11773" width="34.1796875" style="677" hidden="1"/>
    <col min="11774" max="11774" width="26.1796875" style="677" hidden="1"/>
    <col min="11775" max="11775" width="3.54296875" style="677" hidden="1"/>
    <col min="11776" max="11776" width="2.1796875" style="677" hidden="1"/>
    <col min="11777" max="11777" width="15.81640625" style="677" hidden="1"/>
    <col min="11778" max="11778" width="11.453125" style="677" hidden="1"/>
    <col min="11779" max="11779" width="2.1796875" style="677" hidden="1"/>
    <col min="11780" max="11780" width="13.453125" style="677" hidden="1"/>
    <col min="11781" max="11781" width="2.1796875" style="677" hidden="1"/>
    <col min="11782" max="11782" width="15" style="677" hidden="1"/>
    <col min="11783" max="11783" width="2.1796875" style="677" hidden="1"/>
    <col min="11784" max="11784" width="11.453125" style="677" hidden="1"/>
    <col min="11785" max="11785" width="2.1796875" style="677" hidden="1"/>
    <col min="11786" max="11786" width="16.54296875" style="677" hidden="1"/>
    <col min="11787" max="12026" width="11.453125" style="677" hidden="1"/>
    <col min="12027" max="12027" width="3.54296875" style="677" hidden="1"/>
    <col min="12028" max="12028" width="15.453125" style="677" hidden="1"/>
    <col min="12029" max="12029" width="34.1796875" style="677" hidden="1"/>
    <col min="12030" max="12030" width="26.1796875" style="677" hidden="1"/>
    <col min="12031" max="12031" width="3.54296875" style="677" hidden="1"/>
    <col min="12032" max="12032" width="2.1796875" style="677" hidden="1"/>
    <col min="12033" max="12033" width="15.81640625" style="677" hidden="1"/>
    <col min="12034" max="12034" width="11.453125" style="677" hidden="1"/>
    <col min="12035" max="12035" width="2.1796875" style="677" hidden="1"/>
    <col min="12036" max="12036" width="13.453125" style="677" hidden="1"/>
    <col min="12037" max="12037" width="2.1796875" style="677" hidden="1"/>
    <col min="12038" max="12038" width="15" style="677" hidden="1"/>
    <col min="12039" max="12039" width="2.1796875" style="677" hidden="1"/>
    <col min="12040" max="12040" width="11.453125" style="677" hidden="1"/>
    <col min="12041" max="12041" width="2.1796875" style="677" hidden="1"/>
    <col min="12042" max="12042" width="16.54296875" style="677" hidden="1"/>
    <col min="12043" max="12282" width="11.453125" style="677" hidden="1"/>
    <col min="12283" max="12283" width="3.54296875" style="677" hidden="1"/>
    <col min="12284" max="12284" width="15.453125" style="677" hidden="1"/>
    <col min="12285" max="12285" width="34.1796875" style="677" hidden="1"/>
    <col min="12286" max="12286" width="26.1796875" style="677" hidden="1"/>
    <col min="12287" max="12287" width="3.54296875" style="677" hidden="1"/>
    <col min="12288" max="12288" width="2.1796875" style="677" hidden="1"/>
    <col min="12289" max="12289" width="15.81640625" style="677" hidden="1"/>
    <col min="12290" max="12290" width="11.453125" style="677" hidden="1"/>
    <col min="12291" max="12291" width="2.1796875" style="677" hidden="1"/>
    <col min="12292" max="12292" width="13.453125" style="677" hidden="1"/>
    <col min="12293" max="12293" width="2.1796875" style="677" hidden="1"/>
    <col min="12294" max="12294" width="15" style="677" hidden="1"/>
    <col min="12295" max="12295" width="2.1796875" style="677" hidden="1"/>
    <col min="12296" max="12296" width="11.453125" style="677" hidden="1"/>
    <col min="12297" max="12297" width="2.1796875" style="677" hidden="1"/>
    <col min="12298" max="12298" width="16.54296875" style="677" hidden="1"/>
    <col min="12299" max="12538" width="11.453125" style="677" hidden="1"/>
    <col min="12539" max="12539" width="3.54296875" style="677" hidden="1"/>
    <col min="12540" max="12540" width="15.453125" style="677" hidden="1"/>
    <col min="12541" max="12541" width="34.1796875" style="677" hidden="1"/>
    <col min="12542" max="12542" width="26.1796875" style="677" hidden="1"/>
    <col min="12543" max="12543" width="3.54296875" style="677" hidden="1"/>
    <col min="12544" max="12544" width="2.1796875" style="677" hidden="1"/>
    <col min="12545" max="12545" width="15.81640625" style="677" hidden="1"/>
    <col min="12546" max="12546" width="11.453125" style="677" hidden="1"/>
    <col min="12547" max="12547" width="2.1796875" style="677" hidden="1"/>
    <col min="12548" max="12548" width="13.453125" style="677" hidden="1"/>
    <col min="12549" max="12549" width="2.1796875" style="677" hidden="1"/>
    <col min="12550" max="12550" width="15" style="677" hidden="1"/>
    <col min="12551" max="12551" width="2.1796875" style="677" hidden="1"/>
    <col min="12552" max="12552" width="11.453125" style="677" hidden="1"/>
    <col min="12553" max="12553" width="2.1796875" style="677" hidden="1"/>
    <col min="12554" max="12554" width="16.54296875" style="677" hidden="1"/>
    <col min="12555" max="12794" width="11.453125" style="677" hidden="1"/>
    <col min="12795" max="12795" width="3.54296875" style="677" hidden="1"/>
    <col min="12796" max="12796" width="15.453125" style="677" hidden="1"/>
    <col min="12797" max="12797" width="34.1796875" style="677" hidden="1"/>
    <col min="12798" max="12798" width="26.1796875" style="677" hidden="1"/>
    <col min="12799" max="12799" width="3.54296875" style="677" hidden="1"/>
    <col min="12800" max="12800" width="2.1796875" style="677" hidden="1"/>
    <col min="12801" max="12801" width="15.81640625" style="677" hidden="1"/>
    <col min="12802" max="12802" width="11.453125" style="677" hidden="1"/>
    <col min="12803" max="12803" width="2.1796875" style="677" hidden="1"/>
    <col min="12804" max="12804" width="13.453125" style="677" hidden="1"/>
    <col min="12805" max="12805" width="2.1796875" style="677" hidden="1"/>
    <col min="12806" max="12806" width="15" style="677" hidden="1"/>
    <col min="12807" max="12807" width="2.1796875" style="677" hidden="1"/>
    <col min="12808" max="12808" width="11.453125" style="677" hidden="1"/>
    <col min="12809" max="12809" width="2.1796875" style="677" hidden="1"/>
    <col min="12810" max="12810" width="16.54296875" style="677" hidden="1"/>
    <col min="12811" max="13050" width="11.453125" style="677" hidden="1"/>
    <col min="13051" max="13051" width="3.54296875" style="677" hidden="1"/>
    <col min="13052" max="13052" width="15.453125" style="677" hidden="1"/>
    <col min="13053" max="13053" width="34.1796875" style="677" hidden="1"/>
    <col min="13054" max="13054" width="26.1796875" style="677" hidden="1"/>
    <col min="13055" max="13055" width="3.54296875" style="677" hidden="1"/>
    <col min="13056" max="13056" width="2.1796875" style="677" hidden="1"/>
    <col min="13057" max="13057" width="15.81640625" style="677" hidden="1"/>
    <col min="13058" max="13058" width="11.453125" style="677" hidden="1"/>
    <col min="13059" max="13059" width="2.1796875" style="677" hidden="1"/>
    <col min="13060" max="13060" width="13.453125" style="677" hidden="1"/>
    <col min="13061" max="13061" width="2.1796875" style="677" hidden="1"/>
    <col min="13062" max="13062" width="15" style="677" hidden="1"/>
    <col min="13063" max="13063" width="2.1796875" style="677" hidden="1"/>
    <col min="13064" max="13064" width="11.453125" style="677" hidden="1"/>
    <col min="13065" max="13065" width="2.1796875" style="677" hidden="1"/>
    <col min="13066" max="13066" width="16.54296875" style="677" hidden="1"/>
    <col min="13067" max="13306" width="11.453125" style="677" hidden="1"/>
    <col min="13307" max="13307" width="3.54296875" style="677" hidden="1"/>
    <col min="13308" max="13308" width="15.453125" style="677" hidden="1"/>
    <col min="13309" max="13309" width="34.1796875" style="677" hidden="1"/>
    <col min="13310" max="13310" width="26.1796875" style="677" hidden="1"/>
    <col min="13311" max="13311" width="3.54296875" style="677" hidden="1"/>
    <col min="13312" max="13312" width="2.1796875" style="677" hidden="1"/>
    <col min="13313" max="13313" width="15.81640625" style="677" hidden="1"/>
    <col min="13314" max="13314" width="11.453125" style="677" hidden="1"/>
    <col min="13315" max="13315" width="2.1796875" style="677" hidden="1"/>
    <col min="13316" max="13316" width="13.453125" style="677" hidden="1"/>
    <col min="13317" max="13317" width="2.1796875" style="677" hidden="1"/>
    <col min="13318" max="13318" width="15" style="677" hidden="1"/>
    <col min="13319" max="13319" width="2.1796875" style="677" hidden="1"/>
    <col min="13320" max="13320" width="11.453125" style="677" hidden="1"/>
    <col min="13321" max="13321" width="2.1796875" style="677" hidden="1"/>
    <col min="13322" max="13322" width="16.54296875" style="677" hidden="1"/>
    <col min="13323" max="13562" width="11.453125" style="677" hidden="1"/>
    <col min="13563" max="13563" width="3.54296875" style="677" hidden="1"/>
    <col min="13564" max="13564" width="15.453125" style="677" hidden="1"/>
    <col min="13565" max="13565" width="34.1796875" style="677" hidden="1"/>
    <col min="13566" max="13566" width="26.1796875" style="677" hidden="1"/>
    <col min="13567" max="13567" width="3.54296875" style="677" hidden="1"/>
    <col min="13568" max="13568" width="2.1796875" style="677" hidden="1"/>
    <col min="13569" max="13569" width="15.81640625" style="677" hidden="1"/>
    <col min="13570" max="13570" width="11.453125" style="677" hidden="1"/>
    <col min="13571" max="13571" width="2.1796875" style="677" hidden="1"/>
    <col min="13572" max="13572" width="13.453125" style="677" hidden="1"/>
    <col min="13573" max="13573" width="2.1796875" style="677" hidden="1"/>
    <col min="13574" max="13574" width="15" style="677" hidden="1"/>
    <col min="13575" max="13575" width="2.1796875" style="677" hidden="1"/>
    <col min="13576" max="13576" width="11.453125" style="677" hidden="1"/>
    <col min="13577" max="13577" width="2.1796875" style="677" hidden="1"/>
    <col min="13578" max="13578" width="16.54296875" style="677" hidden="1"/>
    <col min="13579" max="13818" width="11.453125" style="677" hidden="1"/>
    <col min="13819" max="13819" width="3.54296875" style="677" hidden="1"/>
    <col min="13820" max="13820" width="15.453125" style="677" hidden="1"/>
    <col min="13821" max="13821" width="34.1796875" style="677" hidden="1"/>
    <col min="13822" max="13822" width="26.1796875" style="677" hidden="1"/>
    <col min="13823" max="13823" width="3.54296875" style="677" hidden="1"/>
    <col min="13824" max="13824" width="2.1796875" style="677" hidden="1"/>
    <col min="13825" max="13825" width="15.81640625" style="677" hidden="1"/>
    <col min="13826" max="13826" width="11.453125" style="677" hidden="1"/>
    <col min="13827" max="13827" width="2.1796875" style="677" hidden="1"/>
    <col min="13828" max="13828" width="13.453125" style="677" hidden="1"/>
    <col min="13829" max="13829" width="2.1796875" style="677" hidden="1"/>
    <col min="13830" max="13830" width="15" style="677" hidden="1"/>
    <col min="13831" max="13831" width="2.1796875" style="677" hidden="1"/>
    <col min="13832" max="13832" width="11.453125" style="677" hidden="1"/>
    <col min="13833" max="13833" width="2.1796875" style="677" hidden="1"/>
    <col min="13834" max="13834" width="16.54296875" style="677" hidden="1"/>
    <col min="13835" max="14074" width="11.453125" style="677" hidden="1"/>
    <col min="14075" max="14075" width="3.54296875" style="677" hidden="1"/>
    <col min="14076" max="14076" width="15.453125" style="677" hidden="1"/>
    <col min="14077" max="14077" width="34.1796875" style="677" hidden="1"/>
    <col min="14078" max="14078" width="26.1796875" style="677" hidden="1"/>
    <col min="14079" max="14079" width="3.54296875" style="677" hidden="1"/>
    <col min="14080" max="14080" width="2.1796875" style="677" hidden="1"/>
    <col min="14081" max="14081" width="15.81640625" style="677" hidden="1"/>
    <col min="14082" max="14082" width="11.453125" style="677" hidden="1"/>
    <col min="14083" max="14083" width="2.1796875" style="677" hidden="1"/>
    <col min="14084" max="14084" width="13.453125" style="677" hidden="1"/>
    <col min="14085" max="14085" width="2.1796875" style="677" hidden="1"/>
    <col min="14086" max="14086" width="15" style="677" hidden="1"/>
    <col min="14087" max="14087" width="2.1796875" style="677" hidden="1"/>
    <col min="14088" max="14088" width="11.453125" style="677" hidden="1"/>
    <col min="14089" max="14089" width="2.1796875" style="677" hidden="1"/>
    <col min="14090" max="14090" width="16.54296875" style="677" hidden="1"/>
    <col min="14091" max="14330" width="11.453125" style="677" hidden="1"/>
    <col min="14331" max="14331" width="3.54296875" style="677" hidden="1"/>
    <col min="14332" max="14332" width="15.453125" style="677" hidden="1"/>
    <col min="14333" max="14333" width="34.1796875" style="677" hidden="1"/>
    <col min="14334" max="14334" width="26.1796875" style="677" hidden="1"/>
    <col min="14335" max="14335" width="3.54296875" style="677" hidden="1"/>
    <col min="14336" max="14336" width="2.1796875" style="677" hidden="1"/>
    <col min="14337" max="14337" width="15.81640625" style="677" hidden="1"/>
    <col min="14338" max="14338" width="11.453125" style="677" hidden="1"/>
    <col min="14339" max="14339" width="2.1796875" style="677" hidden="1"/>
    <col min="14340" max="14340" width="13.453125" style="677" hidden="1"/>
    <col min="14341" max="14341" width="2.1796875" style="677" hidden="1"/>
    <col min="14342" max="14342" width="15" style="677" hidden="1"/>
    <col min="14343" max="14343" width="2.1796875" style="677" hidden="1"/>
    <col min="14344" max="14344" width="11.453125" style="677" hidden="1"/>
    <col min="14345" max="14345" width="2.1796875" style="677" hidden="1"/>
    <col min="14346" max="14346" width="16.54296875" style="677" hidden="1"/>
    <col min="14347" max="14586" width="11.453125" style="677" hidden="1"/>
    <col min="14587" max="14587" width="3.54296875" style="677" hidden="1"/>
    <col min="14588" max="14588" width="15.453125" style="677" hidden="1"/>
    <col min="14589" max="14589" width="34.1796875" style="677" hidden="1"/>
    <col min="14590" max="14590" width="26.1796875" style="677" hidden="1"/>
    <col min="14591" max="14591" width="3.54296875" style="677" hidden="1"/>
    <col min="14592" max="14592" width="2.1796875" style="677" hidden="1"/>
    <col min="14593" max="14593" width="15.81640625" style="677" hidden="1"/>
    <col min="14594" max="14594" width="11.453125" style="677" hidden="1"/>
    <col min="14595" max="14595" width="2.1796875" style="677" hidden="1"/>
    <col min="14596" max="14596" width="13.453125" style="677" hidden="1"/>
    <col min="14597" max="14597" width="2.1796875" style="677" hidden="1"/>
    <col min="14598" max="14598" width="15" style="677" hidden="1"/>
    <col min="14599" max="14599" width="2.1796875" style="677" hidden="1"/>
    <col min="14600" max="14600" width="11.453125" style="677" hidden="1"/>
    <col min="14601" max="14601" width="2.1796875" style="677" hidden="1"/>
    <col min="14602" max="14602" width="16.54296875" style="677" hidden="1"/>
    <col min="14603" max="14842" width="11.453125" style="677" hidden="1"/>
    <col min="14843" max="14843" width="3.54296875" style="677" hidden="1"/>
    <col min="14844" max="14844" width="15.453125" style="677" hidden="1"/>
    <col min="14845" max="14845" width="34.1796875" style="677" hidden="1"/>
    <col min="14846" max="14846" width="26.1796875" style="677" hidden="1"/>
    <col min="14847" max="14847" width="3.54296875" style="677" hidden="1"/>
    <col min="14848" max="14848" width="2.1796875" style="677" hidden="1"/>
    <col min="14849" max="14849" width="15.81640625" style="677" hidden="1"/>
    <col min="14850" max="14850" width="11.453125" style="677" hidden="1"/>
    <col min="14851" max="14851" width="2.1796875" style="677" hidden="1"/>
    <col min="14852" max="14852" width="13.453125" style="677" hidden="1"/>
    <col min="14853" max="14853" width="2.1796875" style="677" hidden="1"/>
    <col min="14854" max="14854" width="15" style="677" hidden="1"/>
    <col min="14855" max="14855" width="2.1796875" style="677" hidden="1"/>
    <col min="14856" max="14856" width="11.453125" style="677" hidden="1"/>
    <col min="14857" max="14857" width="2.1796875" style="677" hidden="1"/>
    <col min="14858" max="14858" width="16.54296875" style="677" hidden="1"/>
    <col min="14859" max="15098" width="11.453125" style="677" hidden="1"/>
    <col min="15099" max="15099" width="3.54296875" style="677" hidden="1"/>
    <col min="15100" max="15100" width="15.453125" style="677" hidden="1"/>
    <col min="15101" max="15101" width="34.1796875" style="677" hidden="1"/>
    <col min="15102" max="15102" width="26.1796875" style="677" hidden="1"/>
    <col min="15103" max="15103" width="3.54296875" style="677" hidden="1"/>
    <col min="15104" max="15104" width="2.1796875" style="677" hidden="1"/>
    <col min="15105" max="15105" width="15.81640625" style="677" hidden="1"/>
    <col min="15106" max="15106" width="11.453125" style="677" hidden="1"/>
    <col min="15107" max="15107" width="2.1796875" style="677" hidden="1"/>
    <col min="15108" max="15108" width="13.453125" style="677" hidden="1"/>
    <col min="15109" max="15109" width="2.1796875" style="677" hidden="1"/>
    <col min="15110" max="15110" width="15" style="677" hidden="1"/>
    <col min="15111" max="15111" width="2.1796875" style="677" hidden="1"/>
    <col min="15112" max="15112" width="11.453125" style="677" hidden="1"/>
    <col min="15113" max="15113" width="2.1796875" style="677" hidden="1"/>
    <col min="15114" max="15114" width="16.54296875" style="677" hidden="1"/>
    <col min="15115" max="15354" width="11.453125" style="677" hidden="1"/>
    <col min="15355" max="15355" width="3.54296875" style="677" hidden="1"/>
    <col min="15356" max="15356" width="15.453125" style="677" hidden="1"/>
    <col min="15357" max="15357" width="34.1796875" style="677" hidden="1"/>
    <col min="15358" max="15358" width="26.1796875" style="677" hidden="1"/>
    <col min="15359" max="15359" width="3.54296875" style="677" hidden="1"/>
    <col min="15360" max="15360" width="2.1796875" style="677" hidden="1"/>
    <col min="15361" max="15361" width="15.81640625" style="677" hidden="1"/>
    <col min="15362" max="15362" width="11.453125" style="677" hidden="1"/>
    <col min="15363" max="15363" width="2.1796875" style="677" hidden="1"/>
    <col min="15364" max="15364" width="13.453125" style="677" hidden="1"/>
    <col min="15365" max="15365" width="2.1796875" style="677" hidden="1"/>
    <col min="15366" max="15366" width="15" style="677" hidden="1"/>
    <col min="15367" max="15367" width="2.1796875" style="677" hidden="1"/>
    <col min="15368" max="15368" width="11.453125" style="677" hidden="1"/>
    <col min="15369" max="15369" width="2.1796875" style="677" hidden="1"/>
    <col min="15370" max="15370" width="16.54296875" style="677" hidden="1"/>
    <col min="15371" max="15610" width="11.453125" style="677" hidden="1"/>
    <col min="15611" max="15611" width="3.54296875" style="677" hidden="1"/>
    <col min="15612" max="15612" width="15.453125" style="677" hidden="1"/>
    <col min="15613" max="15613" width="34.1796875" style="677" hidden="1"/>
    <col min="15614" max="15614" width="26.1796875" style="677" hidden="1"/>
    <col min="15615" max="15615" width="3.54296875" style="677" hidden="1"/>
    <col min="15616" max="15616" width="2.1796875" style="677" hidden="1"/>
    <col min="15617" max="15617" width="15.81640625" style="677" hidden="1"/>
    <col min="15618" max="15618" width="11.453125" style="677" hidden="1"/>
    <col min="15619" max="15619" width="2.1796875" style="677" hidden="1"/>
    <col min="15620" max="15620" width="13.453125" style="677" hidden="1"/>
    <col min="15621" max="15621" width="2.1796875" style="677" hidden="1"/>
    <col min="15622" max="15622" width="15" style="677" hidden="1"/>
    <col min="15623" max="15623" width="2.1796875" style="677" hidden="1"/>
    <col min="15624" max="15624" width="11.453125" style="677" hidden="1"/>
    <col min="15625" max="15625" width="2.1796875" style="677" hidden="1"/>
    <col min="15626" max="15626" width="16.54296875" style="677" hidden="1"/>
    <col min="15627" max="15866" width="11.453125" style="677" hidden="1"/>
    <col min="15867" max="15867" width="3.54296875" style="677" hidden="1"/>
    <col min="15868" max="15868" width="15.453125" style="677" hidden="1"/>
    <col min="15869" max="15869" width="34.1796875" style="677" hidden="1"/>
    <col min="15870" max="15870" width="26.1796875" style="677" hidden="1"/>
    <col min="15871" max="15871" width="3.54296875" style="677" hidden="1"/>
    <col min="15872" max="15872" width="2.1796875" style="677" hidden="1"/>
    <col min="15873" max="15873" width="15.81640625" style="677" hidden="1"/>
    <col min="15874" max="15874" width="11.453125" style="677" hidden="1"/>
    <col min="15875" max="15875" width="2.1796875" style="677" hidden="1"/>
    <col min="15876" max="15876" width="13.453125" style="677" hidden="1"/>
    <col min="15877" max="15877" width="2.1796875" style="677" hidden="1"/>
    <col min="15878" max="15878" width="15" style="677" hidden="1"/>
    <col min="15879" max="15879" width="2.1796875" style="677" hidden="1"/>
    <col min="15880" max="15880" width="11.453125" style="677" hidden="1"/>
    <col min="15881" max="15881" width="2.1796875" style="677" hidden="1"/>
    <col min="15882" max="15882" width="16.54296875" style="677" hidden="1"/>
    <col min="15883" max="16122" width="11.453125" style="677" hidden="1"/>
    <col min="16123" max="16123" width="3.54296875" style="677" hidden="1"/>
    <col min="16124" max="16124" width="15.453125" style="677" hidden="1"/>
    <col min="16125" max="16125" width="34.1796875" style="677" hidden="1"/>
    <col min="16126" max="16126" width="26.1796875" style="677" hidden="1"/>
    <col min="16127" max="16127" width="3.54296875" style="677" hidden="1"/>
    <col min="16128" max="16128" width="2.1796875" style="677" hidden="1"/>
    <col min="16129" max="16129" width="15.81640625" style="677" hidden="1"/>
    <col min="16130" max="16130" width="11.453125" style="677" hidden="1"/>
    <col min="16131" max="16131" width="2.1796875" style="677" hidden="1"/>
    <col min="16132" max="16132" width="13.453125" style="677" hidden="1"/>
    <col min="16133" max="16133" width="2.1796875" style="677" hidden="1"/>
    <col min="16134" max="16134" width="15" style="677" hidden="1"/>
    <col min="16135" max="16135" width="2.1796875" style="677" hidden="1"/>
    <col min="16136" max="16136" width="11.453125" style="677" hidden="1"/>
    <col min="16137" max="16137" width="2.1796875" style="677" hidden="1"/>
    <col min="16138" max="16138" width="16.54296875" style="677" hidden="1"/>
    <col min="16139" max="16384" width="11.453125" style="677" hidden="1"/>
  </cols>
  <sheetData>
    <row r="1" spans="2:25" ht="13" x14ac:dyDescent="0.3">
      <c r="F1" s="738" t="s">
        <v>299</v>
      </c>
      <c r="G1" s="738"/>
      <c r="I1" s="702" t="s">
        <v>300</v>
      </c>
      <c r="K1" s="702" t="s">
        <v>301</v>
      </c>
      <c r="M1" s="702" t="s">
        <v>302</v>
      </c>
      <c r="O1" s="738" t="s">
        <v>303</v>
      </c>
      <c r="P1" s="738"/>
      <c r="R1" s="741" t="s">
        <v>324</v>
      </c>
      <c r="S1" s="742"/>
      <c r="U1" s="738" t="s">
        <v>326</v>
      </c>
      <c r="V1" s="738"/>
      <c r="X1" s="738" t="s">
        <v>326</v>
      </c>
      <c r="Y1" s="738"/>
    </row>
    <row r="2" spans="2:25" ht="12.5" x14ac:dyDescent="0.25">
      <c r="F2" s="703" t="s">
        <v>321</v>
      </c>
      <c r="G2" s="703">
        <v>1</v>
      </c>
      <c r="I2" s="703">
        <v>18</v>
      </c>
      <c r="K2" s="703" t="s">
        <v>305</v>
      </c>
      <c r="M2" s="704">
        <f ca="1">ROUNDDOWN(TODAY()-I3*365.25+1,0)</f>
        <v>21191</v>
      </c>
      <c r="O2" s="703">
        <v>50000</v>
      </c>
      <c r="P2" s="703" t="s">
        <v>321</v>
      </c>
      <c r="R2" s="703" t="s">
        <v>304</v>
      </c>
      <c r="S2" s="703">
        <v>1</v>
      </c>
      <c r="U2" s="705" t="s">
        <v>327</v>
      </c>
      <c r="V2" s="703">
        <v>0</v>
      </c>
      <c r="X2" s="705" t="s">
        <v>327</v>
      </c>
      <c r="Y2" s="703">
        <v>0</v>
      </c>
    </row>
    <row r="3" spans="2:25" ht="12.5" x14ac:dyDescent="0.25">
      <c r="F3" s="703" t="s">
        <v>292</v>
      </c>
      <c r="G3" s="703">
        <v>1.3</v>
      </c>
      <c r="I3" s="703">
        <v>65</v>
      </c>
      <c r="K3" s="703" t="s">
        <v>307</v>
      </c>
      <c r="M3" s="704">
        <f ca="1">ROUNDDOWN(TODAY()-18*365.25+1,0)</f>
        <v>38358</v>
      </c>
      <c r="O3" s="703">
        <v>100000</v>
      </c>
      <c r="P3" s="703" t="s">
        <v>321</v>
      </c>
      <c r="R3" s="703" t="s">
        <v>306</v>
      </c>
      <c r="S3" s="703">
        <v>0</v>
      </c>
      <c r="U3" s="705">
        <v>1</v>
      </c>
      <c r="V3" s="703">
        <v>1</v>
      </c>
      <c r="X3" s="705">
        <v>1</v>
      </c>
      <c r="Y3" s="703">
        <v>1</v>
      </c>
    </row>
    <row r="4" spans="2:25" ht="12.5" x14ac:dyDescent="0.25">
      <c r="K4" s="703" t="s">
        <v>308</v>
      </c>
      <c r="O4" s="703">
        <v>250000</v>
      </c>
      <c r="P4" s="703" t="s">
        <v>292</v>
      </c>
      <c r="U4" s="705">
        <v>2</v>
      </c>
      <c r="V4" s="703">
        <v>2</v>
      </c>
      <c r="X4" s="705">
        <v>2</v>
      </c>
      <c r="Y4" s="703">
        <v>2</v>
      </c>
    </row>
    <row r="5" spans="2:25" ht="13" x14ac:dyDescent="0.3">
      <c r="F5" s="738" t="s">
        <v>309</v>
      </c>
      <c r="G5" s="738"/>
      <c r="K5" s="703" t="s">
        <v>310</v>
      </c>
      <c r="O5" s="703">
        <v>500000</v>
      </c>
      <c r="P5" s="703" t="s">
        <v>292</v>
      </c>
      <c r="U5" s="705" t="s">
        <v>328</v>
      </c>
      <c r="V5" s="703">
        <v>3</v>
      </c>
      <c r="X5" s="705" t="s">
        <v>328</v>
      </c>
      <c r="Y5" s="703">
        <v>3</v>
      </c>
    </row>
    <row r="6" spans="2:25" ht="15.5" x14ac:dyDescent="0.35">
      <c r="B6" s="735"/>
      <c r="C6" s="735"/>
      <c r="D6" s="735"/>
      <c r="F6" s="703" t="s">
        <v>290</v>
      </c>
      <c r="G6" s="703">
        <v>0</v>
      </c>
      <c r="O6" s="703">
        <v>1000000</v>
      </c>
      <c r="P6" s="703" t="s">
        <v>292</v>
      </c>
    </row>
    <row r="7" spans="2:25" ht="15.5" x14ac:dyDescent="0.35">
      <c r="B7" s="735" t="s">
        <v>380</v>
      </c>
      <c r="C7" s="735"/>
      <c r="D7" s="735"/>
      <c r="F7" s="703" t="s">
        <v>291</v>
      </c>
      <c r="G7" s="706">
        <v>0.15</v>
      </c>
    </row>
    <row r="8" spans="2:25" ht="13" x14ac:dyDescent="0.3">
      <c r="B8" s="736" t="s">
        <v>374</v>
      </c>
      <c r="C8" s="736"/>
      <c r="D8" s="736"/>
    </row>
    <row r="9" spans="2:25" ht="12.5" x14ac:dyDescent="0.25"/>
    <row r="10" spans="2:25" ht="13" x14ac:dyDescent="0.3">
      <c r="B10" s="685" t="s">
        <v>311</v>
      </c>
      <c r="C10" s="740" t="s">
        <v>394</v>
      </c>
      <c r="D10" s="740"/>
    </row>
    <row r="11" spans="2:25" ht="6.75" customHeight="1" x14ac:dyDescent="0.25"/>
    <row r="12" spans="2:25" ht="13" x14ac:dyDescent="0.3">
      <c r="B12" s="685" t="s">
        <v>312</v>
      </c>
      <c r="C12" s="685"/>
      <c r="D12" s="679">
        <v>100000</v>
      </c>
    </row>
    <row r="13" spans="2:25" ht="6.75" customHeight="1" x14ac:dyDescent="0.3">
      <c r="B13" s="685"/>
      <c r="C13" s="685"/>
    </row>
    <row r="14" spans="2:25" ht="13" x14ac:dyDescent="0.3">
      <c r="B14" s="685" t="s">
        <v>313</v>
      </c>
      <c r="C14" s="685"/>
      <c r="D14" s="680">
        <v>23793</v>
      </c>
    </row>
    <row r="15" spans="2:25" ht="6.75" customHeight="1" x14ac:dyDescent="0.3">
      <c r="B15" s="685"/>
      <c r="C15" s="685"/>
      <c r="D15" s="707"/>
    </row>
    <row r="16" spans="2:25" ht="13" x14ac:dyDescent="0.3">
      <c r="B16" s="685" t="s">
        <v>320</v>
      </c>
      <c r="C16" s="685"/>
      <c r="D16" s="677">
        <f ca="1">ROUNDDOWN((((TODAY()+1))-D14)/365.25,0)</f>
        <v>57</v>
      </c>
    </row>
    <row r="17" spans="2:6" ht="6.75" customHeight="1" x14ac:dyDescent="0.3">
      <c r="B17" s="685"/>
      <c r="C17" s="685"/>
    </row>
    <row r="18" spans="2:6" ht="13" x14ac:dyDescent="0.3">
      <c r="B18" s="685" t="s">
        <v>334</v>
      </c>
      <c r="C18" s="685"/>
      <c r="D18" s="681" t="s">
        <v>290</v>
      </c>
      <c r="F18" s="677">
        <f>(1+VLOOKUP(D18,F6:G7,2))</f>
        <v>1</v>
      </c>
    </row>
    <row r="19" spans="2:6" ht="6.75" hidden="1" customHeight="1" x14ac:dyDescent="0.3">
      <c r="B19" s="685"/>
      <c r="C19" s="685"/>
    </row>
    <row r="20" spans="2:6" ht="13" hidden="1" x14ac:dyDescent="0.3">
      <c r="B20" s="685"/>
      <c r="C20" s="685"/>
      <c r="D20" s="708"/>
    </row>
    <row r="21" spans="2:6" ht="13" hidden="1" x14ac:dyDescent="0.3">
      <c r="B21" s="685"/>
      <c r="C21" s="685"/>
    </row>
    <row r="22" spans="2:6" ht="13" hidden="1" x14ac:dyDescent="0.3">
      <c r="B22" s="685" t="s">
        <v>314</v>
      </c>
      <c r="C22" s="685"/>
      <c r="D22" s="709">
        <v>0.5</v>
      </c>
    </row>
    <row r="23" spans="2:6" ht="13" hidden="1" x14ac:dyDescent="0.3">
      <c r="B23" s="685"/>
      <c r="C23" s="685"/>
    </row>
    <row r="25" spans="2:6" ht="6.75" customHeight="1" x14ac:dyDescent="0.25"/>
    <row r="26" spans="2:6" ht="13" x14ac:dyDescent="0.3">
      <c r="B26" s="685" t="s">
        <v>315</v>
      </c>
      <c r="C26" s="685"/>
      <c r="D26" s="681" t="s">
        <v>310</v>
      </c>
    </row>
    <row r="27" spans="2:6" ht="6.75" customHeight="1" x14ac:dyDescent="0.3">
      <c r="B27" s="685"/>
      <c r="C27" s="685"/>
      <c r="D27" s="710"/>
    </row>
    <row r="28" spans="2:6" ht="13" x14ac:dyDescent="0.3">
      <c r="B28" s="685" t="s">
        <v>375</v>
      </c>
      <c r="C28" s="685"/>
      <c r="D28" s="711" t="str">
        <f>VLOOKUP(D12,O2:P6,2,FALSE)</f>
        <v>CA</v>
      </c>
      <c r="F28" s="677">
        <f>VLOOKUP(D28,F2:G3,2,FALSE)</f>
        <v>1</v>
      </c>
    </row>
    <row r="29" spans="2:6" ht="6.75" customHeight="1" x14ac:dyDescent="0.25">
      <c r="B29" s="739"/>
      <c r="C29" s="739"/>
      <c r="D29" s="710"/>
    </row>
    <row r="30" spans="2:6" ht="12.75" customHeight="1" x14ac:dyDescent="0.3">
      <c r="B30" s="685" t="s">
        <v>332</v>
      </c>
      <c r="C30" s="712"/>
      <c r="D30" s="681" t="s">
        <v>304</v>
      </c>
      <c r="F30" s="677">
        <f>VLOOKUP(D30,R2:S3,2,FALSE)</f>
        <v>1</v>
      </c>
    </row>
    <row r="31" spans="2:6" ht="6.75" customHeight="1" x14ac:dyDescent="0.25">
      <c r="B31" s="712"/>
      <c r="C31" s="712"/>
      <c r="D31" s="710"/>
    </row>
    <row r="32" spans="2:6" ht="12.75" customHeight="1" x14ac:dyDescent="0.3">
      <c r="B32" s="685" t="s">
        <v>323</v>
      </c>
      <c r="C32" s="740" t="s">
        <v>395</v>
      </c>
      <c r="D32" s="740"/>
    </row>
    <row r="33" spans="2:7" ht="6.75" customHeight="1" x14ac:dyDescent="0.3">
      <c r="B33" s="685"/>
      <c r="C33" s="701"/>
      <c r="D33" s="701"/>
    </row>
    <row r="34" spans="2:7" ht="12.75" customHeight="1" x14ac:dyDescent="0.3">
      <c r="B34" s="685" t="s">
        <v>313</v>
      </c>
      <c r="C34" s="701"/>
      <c r="D34" s="719">
        <v>31124</v>
      </c>
      <c r="E34" s="685"/>
    </row>
    <row r="35" spans="2:7" ht="6.75" customHeight="1" x14ac:dyDescent="0.3">
      <c r="B35" s="685"/>
      <c r="C35" s="701"/>
      <c r="D35" s="701"/>
    </row>
    <row r="36" spans="2:7" ht="12.75" customHeight="1" x14ac:dyDescent="0.3">
      <c r="B36" s="685" t="s">
        <v>333</v>
      </c>
      <c r="C36" s="701"/>
      <c r="D36" s="716">
        <f ca="1">ROUNDDOWN((((TODAY()+1))-D34)/365.25001,0)</f>
        <v>37</v>
      </c>
    </row>
    <row r="37" spans="2:7" ht="6.75" customHeight="1" x14ac:dyDescent="0.3">
      <c r="B37" s="685"/>
      <c r="C37" s="701"/>
      <c r="D37" s="701"/>
    </row>
    <row r="38" spans="2:7" ht="12.75" customHeight="1" x14ac:dyDescent="0.3">
      <c r="B38" s="685" t="s">
        <v>334</v>
      </c>
      <c r="C38" s="701"/>
      <c r="D38" s="688" t="s">
        <v>291</v>
      </c>
      <c r="F38" s="677">
        <f>(1+VLOOKUP(D38,F6:G7,2))</f>
        <v>1.1499999999999999</v>
      </c>
    </row>
    <row r="39" spans="2:7" ht="6.75" customHeight="1" x14ac:dyDescent="0.3">
      <c r="B39" s="685"/>
      <c r="C39" s="701"/>
      <c r="D39" s="701"/>
    </row>
    <row r="40" spans="2:7" ht="12.75" customHeight="1" x14ac:dyDescent="0.3">
      <c r="B40" s="685" t="s">
        <v>325</v>
      </c>
      <c r="C40" s="701"/>
      <c r="D40" s="700">
        <v>2</v>
      </c>
      <c r="F40" s="677">
        <f>VLOOKUP(D40,U2:V5,2,FALSE)</f>
        <v>2</v>
      </c>
      <c r="G40" s="713">
        <v>0.95</v>
      </c>
    </row>
    <row r="41" spans="2:7" ht="6.75" customHeight="1" x14ac:dyDescent="0.25">
      <c r="B41" s="712"/>
      <c r="C41" s="712"/>
      <c r="D41" s="710"/>
    </row>
  </sheetData>
  <sheetProtection algorithmName="SHA-512" hashValue="xaIFZjlGlQhZH4B4ddcq/r3hyLRH6cz8/l8V0ZkOcURLQ7u5ObB7iLcIhoW8yEnmBxxoH4Ny3PzkprXlIyWTuA==" saltValue="6Wd1UXV4pYbeu9Hw0y8YYw==" spinCount="100000" sheet="1" objects="1" scenarios="1" selectLockedCells="1"/>
  <mergeCells count="12">
    <mergeCell ref="X1:Y1"/>
    <mergeCell ref="B29:C29"/>
    <mergeCell ref="C32:D32"/>
    <mergeCell ref="F5:G5"/>
    <mergeCell ref="U1:V1"/>
    <mergeCell ref="R1:S1"/>
    <mergeCell ref="O1:P1"/>
    <mergeCell ref="F1:G1"/>
    <mergeCell ref="B6:D6"/>
    <mergeCell ref="B8:D8"/>
    <mergeCell ref="C10:D10"/>
    <mergeCell ref="B7:D7"/>
  </mergeCells>
  <conditionalFormatting sqref="C32:D32">
    <cfRule type="expression" dxfId="11" priority="11">
      <formula>$D$30&lt;&gt;"SI"</formula>
    </cfRule>
  </conditionalFormatting>
  <conditionalFormatting sqref="E34">
    <cfRule type="expression" dxfId="10" priority="9">
      <formula>$D$30&lt;&gt;"SI"</formula>
    </cfRule>
  </conditionalFormatting>
  <conditionalFormatting sqref="D36">
    <cfRule type="expression" dxfId="9" priority="5">
      <formula>$D$30&lt;&gt;"SI"</formula>
    </cfRule>
  </conditionalFormatting>
  <conditionalFormatting sqref="D38">
    <cfRule type="expression" dxfId="8" priority="3">
      <formula>$D$30&lt;&gt;"SI"</formula>
    </cfRule>
  </conditionalFormatting>
  <conditionalFormatting sqref="D34">
    <cfRule type="expression" dxfId="7" priority="1">
      <formula>$D$30&lt;&gt;"SI"</formula>
    </cfRule>
  </conditionalFormatting>
  <dataValidations count="17">
    <dataValidation type="whole" allowBlank="1" showInputMessage="1" showErrorMessage="1" sqref="D65544 D131080 D196616 D262152 D327688 D393224 D458760 D524296 D589832 D655368 D720904 D786440 D851976 D917512 D983048" xr:uid="{00000000-0002-0000-0A00-000000000000}">
      <formula1>I65531</formula1>
      <formula2>I65532</formula2>
    </dataValidation>
    <dataValidation type="date" allowBlank="1" showInputMessage="1" showErrorMessage="1" sqref="D65542 D131078 D196614 D262150 D327686 D393222 D458758 D524294 D589830 D655366 D720902 D786438 D851974 D917510 D983046" xr:uid="{00000000-0002-0000-0A00-000001000000}">
      <formula1>M65531</formula1>
      <formula2>M65532</formula2>
    </dataValidation>
    <dataValidation type="list" allowBlank="1" showInputMessage="1" showErrorMessage="1" sqref="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D65540 IT65540 SP65540 ACL65540 AMH65540 AWD65540 BFZ65540 BPV65540 BZR65540 CJN65540 CTJ65540 DDF65540 DNB65540 DWX65540 EGT65540 EQP65540 FAL65540 FKH65540 FUD65540 GDZ65540 GNV65540 GXR65540 HHN65540 HRJ65540 IBF65540 ILB65540 IUX65540 JET65540 JOP65540 JYL65540 KIH65540 KSD65540 LBZ65540 LLV65540 LVR65540 MFN65540 MPJ65540 MZF65540 NJB65540 NSX65540 OCT65540 OMP65540 OWL65540 PGH65540 PQD65540 PZZ65540 QJV65540 QTR65540 RDN65540 RNJ65540 RXF65540 SHB65540 SQX65540 TAT65540 TKP65540 TUL65540 UEH65540 UOD65540 UXZ65540 VHV65540 VRR65540 WBN65540 WLJ65540 WVF65540 D131076 IT131076 SP131076 ACL131076 AMH131076 AWD131076 BFZ131076 BPV131076 BZR131076 CJN131076 CTJ131076 DDF131076 DNB131076 DWX131076 EGT131076 EQP131076 FAL131076 FKH131076 FUD131076 GDZ131076 GNV131076 GXR131076 HHN131076 HRJ131076 IBF131076 ILB131076 IUX131076 JET131076 JOP131076 JYL131076 KIH131076 KSD131076 LBZ131076 LLV131076 LVR131076 MFN131076 MPJ131076 MZF131076 NJB131076 NSX131076 OCT131076 OMP131076 OWL131076 PGH131076 PQD131076 PZZ131076 QJV131076 QTR131076 RDN131076 RNJ131076 RXF131076 SHB131076 SQX131076 TAT131076 TKP131076 TUL131076 UEH131076 UOD131076 UXZ131076 VHV131076 VRR131076 WBN131076 WLJ131076 WVF131076 D196612 IT196612 SP196612 ACL196612 AMH196612 AWD196612 BFZ196612 BPV196612 BZR196612 CJN196612 CTJ196612 DDF196612 DNB196612 DWX196612 EGT196612 EQP196612 FAL196612 FKH196612 FUD196612 GDZ196612 GNV196612 GXR196612 HHN196612 HRJ196612 IBF196612 ILB196612 IUX196612 JET196612 JOP196612 JYL196612 KIH196612 KSD196612 LBZ196612 LLV196612 LVR196612 MFN196612 MPJ196612 MZF196612 NJB196612 NSX196612 OCT196612 OMP196612 OWL196612 PGH196612 PQD196612 PZZ196612 QJV196612 QTR196612 RDN196612 RNJ196612 RXF196612 SHB196612 SQX196612 TAT196612 TKP196612 TUL196612 UEH196612 UOD196612 UXZ196612 VHV196612 VRR196612 WBN196612 WLJ196612 WVF196612 D262148 IT262148 SP262148 ACL262148 AMH262148 AWD262148 BFZ262148 BPV262148 BZR262148 CJN262148 CTJ262148 DDF262148 DNB262148 DWX262148 EGT262148 EQP262148 FAL262148 FKH262148 FUD262148 GDZ262148 GNV262148 GXR262148 HHN262148 HRJ262148 IBF262148 ILB262148 IUX262148 JET262148 JOP262148 JYL262148 KIH262148 KSD262148 LBZ262148 LLV262148 LVR262148 MFN262148 MPJ262148 MZF262148 NJB262148 NSX262148 OCT262148 OMP262148 OWL262148 PGH262148 PQD262148 PZZ262148 QJV262148 QTR262148 RDN262148 RNJ262148 RXF262148 SHB262148 SQX262148 TAT262148 TKP262148 TUL262148 UEH262148 UOD262148 UXZ262148 VHV262148 VRR262148 WBN262148 WLJ262148 WVF262148 D327684 IT327684 SP327684 ACL327684 AMH327684 AWD327684 BFZ327684 BPV327684 BZR327684 CJN327684 CTJ327684 DDF327684 DNB327684 DWX327684 EGT327684 EQP327684 FAL327684 FKH327684 FUD327684 GDZ327684 GNV327684 GXR327684 HHN327684 HRJ327684 IBF327684 ILB327684 IUX327684 JET327684 JOP327684 JYL327684 KIH327684 KSD327684 LBZ327684 LLV327684 LVR327684 MFN327684 MPJ327684 MZF327684 NJB327684 NSX327684 OCT327684 OMP327684 OWL327684 PGH327684 PQD327684 PZZ327684 QJV327684 QTR327684 RDN327684 RNJ327684 RXF327684 SHB327684 SQX327684 TAT327684 TKP327684 TUL327684 UEH327684 UOD327684 UXZ327684 VHV327684 VRR327684 WBN327684 WLJ327684 WVF327684 D393220 IT393220 SP393220 ACL393220 AMH393220 AWD393220 BFZ393220 BPV393220 BZR393220 CJN393220 CTJ393220 DDF393220 DNB393220 DWX393220 EGT393220 EQP393220 FAL393220 FKH393220 FUD393220 GDZ393220 GNV393220 GXR393220 HHN393220 HRJ393220 IBF393220 ILB393220 IUX393220 JET393220 JOP393220 JYL393220 KIH393220 KSD393220 LBZ393220 LLV393220 LVR393220 MFN393220 MPJ393220 MZF393220 NJB393220 NSX393220 OCT393220 OMP393220 OWL393220 PGH393220 PQD393220 PZZ393220 QJV393220 QTR393220 RDN393220 RNJ393220 RXF393220 SHB393220 SQX393220 TAT393220 TKP393220 TUL393220 UEH393220 UOD393220 UXZ393220 VHV393220 VRR393220 WBN393220 WLJ393220 WVF393220 D458756 IT458756 SP458756 ACL458756 AMH458756 AWD458756 BFZ458756 BPV458756 BZR458756 CJN458756 CTJ458756 DDF458756 DNB458756 DWX458756 EGT458756 EQP458756 FAL458756 FKH458756 FUD458756 GDZ458756 GNV458756 GXR458756 HHN458756 HRJ458756 IBF458756 ILB458756 IUX458756 JET458756 JOP458756 JYL458756 KIH458756 KSD458756 LBZ458756 LLV458756 LVR458756 MFN458756 MPJ458756 MZF458756 NJB458756 NSX458756 OCT458756 OMP458756 OWL458756 PGH458756 PQD458756 PZZ458756 QJV458756 QTR458756 RDN458756 RNJ458756 RXF458756 SHB458756 SQX458756 TAT458756 TKP458756 TUL458756 UEH458756 UOD458756 UXZ458756 VHV458756 VRR458756 WBN458756 WLJ458756 WVF458756 D524292 IT524292 SP524292 ACL524292 AMH524292 AWD524292 BFZ524292 BPV524292 BZR524292 CJN524292 CTJ524292 DDF524292 DNB524292 DWX524292 EGT524292 EQP524292 FAL524292 FKH524292 FUD524292 GDZ524292 GNV524292 GXR524292 HHN524292 HRJ524292 IBF524292 ILB524292 IUX524292 JET524292 JOP524292 JYL524292 KIH524292 KSD524292 LBZ524292 LLV524292 LVR524292 MFN524292 MPJ524292 MZF524292 NJB524292 NSX524292 OCT524292 OMP524292 OWL524292 PGH524292 PQD524292 PZZ524292 QJV524292 QTR524292 RDN524292 RNJ524292 RXF524292 SHB524292 SQX524292 TAT524292 TKP524292 TUL524292 UEH524292 UOD524292 UXZ524292 VHV524292 VRR524292 WBN524292 WLJ524292 WVF524292 D589828 IT589828 SP589828 ACL589828 AMH589828 AWD589828 BFZ589828 BPV589828 BZR589828 CJN589828 CTJ589828 DDF589828 DNB589828 DWX589828 EGT589828 EQP589828 FAL589828 FKH589828 FUD589828 GDZ589828 GNV589828 GXR589828 HHN589828 HRJ589828 IBF589828 ILB589828 IUX589828 JET589828 JOP589828 JYL589828 KIH589828 KSD589828 LBZ589828 LLV589828 LVR589828 MFN589828 MPJ589828 MZF589828 NJB589828 NSX589828 OCT589828 OMP589828 OWL589828 PGH589828 PQD589828 PZZ589828 QJV589828 QTR589828 RDN589828 RNJ589828 RXF589828 SHB589828 SQX589828 TAT589828 TKP589828 TUL589828 UEH589828 UOD589828 UXZ589828 VHV589828 VRR589828 WBN589828 WLJ589828 WVF589828 D655364 IT655364 SP655364 ACL655364 AMH655364 AWD655364 BFZ655364 BPV655364 BZR655364 CJN655364 CTJ655364 DDF655364 DNB655364 DWX655364 EGT655364 EQP655364 FAL655364 FKH655364 FUD655364 GDZ655364 GNV655364 GXR655364 HHN655364 HRJ655364 IBF655364 ILB655364 IUX655364 JET655364 JOP655364 JYL655364 KIH655364 KSD655364 LBZ655364 LLV655364 LVR655364 MFN655364 MPJ655364 MZF655364 NJB655364 NSX655364 OCT655364 OMP655364 OWL655364 PGH655364 PQD655364 PZZ655364 QJV655364 QTR655364 RDN655364 RNJ655364 RXF655364 SHB655364 SQX655364 TAT655364 TKP655364 TUL655364 UEH655364 UOD655364 UXZ655364 VHV655364 VRR655364 WBN655364 WLJ655364 WVF655364 D720900 IT720900 SP720900 ACL720900 AMH720900 AWD720900 BFZ720900 BPV720900 BZR720900 CJN720900 CTJ720900 DDF720900 DNB720900 DWX720900 EGT720900 EQP720900 FAL720900 FKH720900 FUD720900 GDZ720900 GNV720900 GXR720900 HHN720900 HRJ720900 IBF720900 ILB720900 IUX720900 JET720900 JOP720900 JYL720900 KIH720900 KSD720900 LBZ720900 LLV720900 LVR720900 MFN720900 MPJ720900 MZF720900 NJB720900 NSX720900 OCT720900 OMP720900 OWL720900 PGH720900 PQD720900 PZZ720900 QJV720900 QTR720900 RDN720900 RNJ720900 RXF720900 SHB720900 SQX720900 TAT720900 TKP720900 TUL720900 UEH720900 UOD720900 UXZ720900 VHV720900 VRR720900 WBN720900 WLJ720900 WVF720900 D786436 IT786436 SP786436 ACL786436 AMH786436 AWD786436 BFZ786436 BPV786436 BZR786436 CJN786436 CTJ786436 DDF786436 DNB786436 DWX786436 EGT786436 EQP786436 FAL786436 FKH786436 FUD786436 GDZ786436 GNV786436 GXR786436 HHN786436 HRJ786436 IBF786436 ILB786436 IUX786436 JET786436 JOP786436 JYL786436 KIH786436 KSD786436 LBZ786436 LLV786436 LVR786436 MFN786436 MPJ786436 MZF786436 NJB786436 NSX786436 OCT786436 OMP786436 OWL786436 PGH786436 PQD786436 PZZ786436 QJV786436 QTR786436 RDN786436 RNJ786436 RXF786436 SHB786436 SQX786436 TAT786436 TKP786436 TUL786436 UEH786436 UOD786436 UXZ786436 VHV786436 VRR786436 WBN786436 WLJ786436 WVF786436 D851972 IT851972 SP851972 ACL851972 AMH851972 AWD851972 BFZ851972 BPV851972 BZR851972 CJN851972 CTJ851972 DDF851972 DNB851972 DWX851972 EGT851972 EQP851972 FAL851972 FKH851972 FUD851972 GDZ851972 GNV851972 GXR851972 HHN851972 HRJ851972 IBF851972 ILB851972 IUX851972 JET851972 JOP851972 JYL851972 KIH851972 KSD851972 LBZ851972 LLV851972 LVR851972 MFN851972 MPJ851972 MZF851972 NJB851972 NSX851972 OCT851972 OMP851972 OWL851972 PGH851972 PQD851972 PZZ851972 QJV851972 QTR851972 RDN851972 RNJ851972 RXF851972 SHB851972 SQX851972 TAT851972 TKP851972 TUL851972 UEH851972 UOD851972 UXZ851972 VHV851972 VRR851972 WBN851972 WLJ851972 WVF851972 D917508 IT917508 SP917508 ACL917508 AMH917508 AWD917508 BFZ917508 BPV917508 BZR917508 CJN917508 CTJ917508 DDF917508 DNB917508 DWX917508 EGT917508 EQP917508 FAL917508 FKH917508 FUD917508 GDZ917508 GNV917508 GXR917508 HHN917508 HRJ917508 IBF917508 ILB917508 IUX917508 JET917508 JOP917508 JYL917508 KIH917508 KSD917508 LBZ917508 LLV917508 LVR917508 MFN917508 MPJ917508 MZF917508 NJB917508 NSX917508 OCT917508 OMP917508 OWL917508 PGH917508 PQD917508 PZZ917508 QJV917508 QTR917508 RDN917508 RNJ917508 RXF917508 SHB917508 SQX917508 TAT917508 TKP917508 TUL917508 UEH917508 UOD917508 UXZ917508 VHV917508 VRR917508 WBN917508 WLJ917508 WVF917508 D983044 IT983044 SP983044 ACL983044 AMH983044 AWD983044 BFZ983044 BPV983044 BZR983044 CJN983044 CTJ983044 DDF983044 DNB983044 DWX983044 EGT983044 EQP983044 FAL983044 FKH983044 FUD983044 GDZ983044 GNV983044 GXR983044 HHN983044 HRJ983044 IBF983044 ILB983044 IUX983044 JET983044 JOP983044 JYL983044 KIH983044 KSD983044 LBZ983044 LLV983044 LVR983044 MFN983044 MPJ983044 MZF983044 NJB983044 NSX983044 OCT983044 OMP983044 OWL983044 PGH983044 PQD983044 PZZ983044 QJV983044 QTR983044 RDN983044 RNJ983044 RXF983044 SHB983044 SQX983044 TAT983044 TKP983044 TUL983044 UEH983044 UOD983044 UXZ983044 VHV983044 VRR983044 WBN983044 WLJ983044 WVF983044" xr:uid="{00000000-0002-0000-0A00-000002000000}">
      <formula1>$O$2:$O$8</formula1>
    </dataValidation>
    <dataValidation type="list" allowBlank="1" showInputMessage="1" showErrorMessage="1" sqref="IT28 WVF983062 WLJ983062 WBN983062 VRR983062 VHV983062 UXZ983062 UOD983062 UEH983062 TUL983062 TKP983062 TAT983062 SQX983062 SHB983062 RXF983062 RNJ983062 RDN983062 QTR983062 QJV983062 PZZ983062 PQD983062 PGH983062 OWL983062 OMP983062 OCT983062 NSX983062 NJB983062 MZF983062 MPJ983062 MFN983062 LVR983062 LLV983062 LBZ983062 KSD983062 KIH983062 JYL983062 JOP983062 JET983062 IUX983062 ILB983062 IBF983062 HRJ983062 HHN983062 GXR983062 GNV983062 GDZ983062 FUD983062 FKH983062 FAL983062 EQP983062 EGT983062 DWX983062 DNB983062 DDF983062 CTJ983062 CJN983062 BZR983062 BPV983062 BFZ983062 AWD983062 AMH983062 ACL983062 SP983062 IT983062 D983062 WVF917526 WLJ917526 WBN917526 VRR917526 VHV917526 UXZ917526 UOD917526 UEH917526 TUL917526 TKP917526 TAT917526 SQX917526 SHB917526 RXF917526 RNJ917526 RDN917526 QTR917526 QJV917526 PZZ917526 PQD917526 PGH917526 OWL917526 OMP917526 OCT917526 NSX917526 NJB917526 MZF917526 MPJ917526 MFN917526 LVR917526 LLV917526 LBZ917526 KSD917526 KIH917526 JYL917526 JOP917526 JET917526 IUX917526 ILB917526 IBF917526 HRJ917526 HHN917526 GXR917526 GNV917526 GDZ917526 FUD917526 FKH917526 FAL917526 EQP917526 EGT917526 DWX917526 DNB917526 DDF917526 CTJ917526 CJN917526 BZR917526 BPV917526 BFZ917526 AWD917526 AMH917526 ACL917526 SP917526 IT917526 D917526 WVF851990 WLJ851990 WBN851990 VRR851990 VHV851990 UXZ851990 UOD851990 UEH851990 TUL851990 TKP851990 TAT851990 SQX851990 SHB851990 RXF851990 RNJ851990 RDN851990 QTR851990 QJV851990 PZZ851990 PQD851990 PGH851990 OWL851990 OMP851990 OCT851990 NSX851990 NJB851990 MZF851990 MPJ851990 MFN851990 LVR851990 LLV851990 LBZ851990 KSD851990 KIH851990 JYL851990 JOP851990 JET851990 IUX851990 ILB851990 IBF851990 HRJ851990 HHN851990 GXR851990 GNV851990 GDZ851990 FUD851990 FKH851990 FAL851990 EQP851990 EGT851990 DWX851990 DNB851990 DDF851990 CTJ851990 CJN851990 BZR851990 BPV851990 BFZ851990 AWD851990 AMH851990 ACL851990 SP851990 IT851990 D851990 WVF786454 WLJ786454 WBN786454 VRR786454 VHV786454 UXZ786454 UOD786454 UEH786454 TUL786454 TKP786454 TAT786454 SQX786454 SHB786454 RXF786454 RNJ786454 RDN786454 QTR786454 QJV786454 PZZ786454 PQD786454 PGH786454 OWL786454 OMP786454 OCT786454 NSX786454 NJB786454 MZF786454 MPJ786454 MFN786454 LVR786454 LLV786454 LBZ786454 KSD786454 KIH786454 JYL786454 JOP786454 JET786454 IUX786454 ILB786454 IBF786454 HRJ786454 HHN786454 GXR786454 GNV786454 GDZ786454 FUD786454 FKH786454 FAL786454 EQP786454 EGT786454 DWX786454 DNB786454 DDF786454 CTJ786454 CJN786454 BZR786454 BPV786454 BFZ786454 AWD786454 AMH786454 ACL786454 SP786454 IT786454 D786454 WVF720918 WLJ720918 WBN720918 VRR720918 VHV720918 UXZ720918 UOD720918 UEH720918 TUL720918 TKP720918 TAT720918 SQX720918 SHB720918 RXF720918 RNJ720918 RDN720918 QTR720918 QJV720918 PZZ720918 PQD720918 PGH720918 OWL720918 OMP720918 OCT720918 NSX720918 NJB720918 MZF720918 MPJ720918 MFN720918 LVR720918 LLV720918 LBZ720918 KSD720918 KIH720918 JYL720918 JOP720918 JET720918 IUX720918 ILB720918 IBF720918 HRJ720918 HHN720918 GXR720918 GNV720918 GDZ720918 FUD720918 FKH720918 FAL720918 EQP720918 EGT720918 DWX720918 DNB720918 DDF720918 CTJ720918 CJN720918 BZR720918 BPV720918 BFZ720918 AWD720918 AMH720918 ACL720918 SP720918 IT720918 D720918 WVF655382 WLJ655382 WBN655382 VRR655382 VHV655382 UXZ655382 UOD655382 UEH655382 TUL655382 TKP655382 TAT655382 SQX655382 SHB655382 RXF655382 RNJ655382 RDN655382 QTR655382 QJV655382 PZZ655382 PQD655382 PGH655382 OWL655382 OMP655382 OCT655382 NSX655382 NJB655382 MZF655382 MPJ655382 MFN655382 LVR655382 LLV655382 LBZ655382 KSD655382 KIH655382 JYL655382 JOP655382 JET655382 IUX655382 ILB655382 IBF655382 HRJ655382 HHN655382 GXR655382 GNV655382 GDZ655382 FUD655382 FKH655382 FAL655382 EQP655382 EGT655382 DWX655382 DNB655382 DDF655382 CTJ655382 CJN655382 BZR655382 BPV655382 BFZ655382 AWD655382 AMH655382 ACL655382 SP655382 IT655382 D655382 WVF589846 WLJ589846 WBN589846 VRR589846 VHV589846 UXZ589846 UOD589846 UEH589846 TUL589846 TKP589846 TAT589846 SQX589846 SHB589846 RXF589846 RNJ589846 RDN589846 QTR589846 QJV589846 PZZ589846 PQD589846 PGH589846 OWL589846 OMP589846 OCT589846 NSX589846 NJB589846 MZF589846 MPJ589846 MFN589846 LVR589846 LLV589846 LBZ589846 KSD589846 KIH589846 JYL589846 JOP589846 JET589846 IUX589846 ILB589846 IBF589846 HRJ589846 HHN589846 GXR589846 GNV589846 GDZ589846 FUD589846 FKH589846 FAL589846 EQP589846 EGT589846 DWX589846 DNB589846 DDF589846 CTJ589846 CJN589846 BZR589846 BPV589846 BFZ589846 AWD589846 AMH589846 ACL589846 SP589846 IT589846 D589846 WVF524310 WLJ524310 WBN524310 VRR524310 VHV524310 UXZ524310 UOD524310 UEH524310 TUL524310 TKP524310 TAT524310 SQX524310 SHB524310 RXF524310 RNJ524310 RDN524310 QTR524310 QJV524310 PZZ524310 PQD524310 PGH524310 OWL524310 OMP524310 OCT524310 NSX524310 NJB524310 MZF524310 MPJ524310 MFN524310 LVR524310 LLV524310 LBZ524310 KSD524310 KIH524310 JYL524310 JOP524310 JET524310 IUX524310 ILB524310 IBF524310 HRJ524310 HHN524310 GXR524310 GNV524310 GDZ524310 FUD524310 FKH524310 FAL524310 EQP524310 EGT524310 DWX524310 DNB524310 DDF524310 CTJ524310 CJN524310 BZR524310 BPV524310 BFZ524310 AWD524310 AMH524310 ACL524310 SP524310 IT524310 D524310 WVF458774 WLJ458774 WBN458774 VRR458774 VHV458774 UXZ458774 UOD458774 UEH458774 TUL458774 TKP458774 TAT458774 SQX458774 SHB458774 RXF458774 RNJ458774 RDN458774 QTR458774 QJV458774 PZZ458774 PQD458774 PGH458774 OWL458774 OMP458774 OCT458774 NSX458774 NJB458774 MZF458774 MPJ458774 MFN458774 LVR458774 LLV458774 LBZ458774 KSD458774 KIH458774 JYL458774 JOP458774 JET458774 IUX458774 ILB458774 IBF458774 HRJ458774 HHN458774 GXR458774 GNV458774 GDZ458774 FUD458774 FKH458774 FAL458774 EQP458774 EGT458774 DWX458774 DNB458774 DDF458774 CTJ458774 CJN458774 BZR458774 BPV458774 BFZ458774 AWD458774 AMH458774 ACL458774 SP458774 IT458774 D458774 WVF393238 WLJ393238 WBN393238 VRR393238 VHV393238 UXZ393238 UOD393238 UEH393238 TUL393238 TKP393238 TAT393238 SQX393238 SHB393238 RXF393238 RNJ393238 RDN393238 QTR393238 QJV393238 PZZ393238 PQD393238 PGH393238 OWL393238 OMP393238 OCT393238 NSX393238 NJB393238 MZF393238 MPJ393238 MFN393238 LVR393238 LLV393238 LBZ393238 KSD393238 KIH393238 JYL393238 JOP393238 JET393238 IUX393238 ILB393238 IBF393238 HRJ393238 HHN393238 GXR393238 GNV393238 GDZ393238 FUD393238 FKH393238 FAL393238 EQP393238 EGT393238 DWX393238 DNB393238 DDF393238 CTJ393238 CJN393238 BZR393238 BPV393238 BFZ393238 AWD393238 AMH393238 ACL393238 SP393238 IT393238 D393238 WVF327702 WLJ327702 WBN327702 VRR327702 VHV327702 UXZ327702 UOD327702 UEH327702 TUL327702 TKP327702 TAT327702 SQX327702 SHB327702 RXF327702 RNJ327702 RDN327702 QTR327702 QJV327702 PZZ327702 PQD327702 PGH327702 OWL327702 OMP327702 OCT327702 NSX327702 NJB327702 MZF327702 MPJ327702 MFN327702 LVR327702 LLV327702 LBZ327702 KSD327702 KIH327702 JYL327702 JOP327702 JET327702 IUX327702 ILB327702 IBF327702 HRJ327702 HHN327702 GXR327702 GNV327702 GDZ327702 FUD327702 FKH327702 FAL327702 EQP327702 EGT327702 DWX327702 DNB327702 DDF327702 CTJ327702 CJN327702 BZR327702 BPV327702 BFZ327702 AWD327702 AMH327702 ACL327702 SP327702 IT327702 D327702 WVF262166 WLJ262166 WBN262166 VRR262166 VHV262166 UXZ262166 UOD262166 UEH262166 TUL262166 TKP262166 TAT262166 SQX262166 SHB262166 RXF262166 RNJ262166 RDN262166 QTR262166 QJV262166 PZZ262166 PQD262166 PGH262166 OWL262166 OMP262166 OCT262166 NSX262166 NJB262166 MZF262166 MPJ262166 MFN262166 LVR262166 LLV262166 LBZ262166 KSD262166 KIH262166 JYL262166 JOP262166 JET262166 IUX262166 ILB262166 IBF262166 HRJ262166 HHN262166 GXR262166 GNV262166 GDZ262166 FUD262166 FKH262166 FAL262166 EQP262166 EGT262166 DWX262166 DNB262166 DDF262166 CTJ262166 CJN262166 BZR262166 BPV262166 BFZ262166 AWD262166 AMH262166 ACL262166 SP262166 IT262166 D262166 WVF196630 WLJ196630 WBN196630 VRR196630 VHV196630 UXZ196630 UOD196630 UEH196630 TUL196630 TKP196630 TAT196630 SQX196630 SHB196630 RXF196630 RNJ196630 RDN196630 QTR196630 QJV196630 PZZ196630 PQD196630 PGH196630 OWL196630 OMP196630 OCT196630 NSX196630 NJB196630 MZF196630 MPJ196630 MFN196630 LVR196630 LLV196630 LBZ196630 KSD196630 KIH196630 JYL196630 JOP196630 JET196630 IUX196630 ILB196630 IBF196630 HRJ196630 HHN196630 GXR196630 GNV196630 GDZ196630 FUD196630 FKH196630 FAL196630 EQP196630 EGT196630 DWX196630 DNB196630 DDF196630 CTJ196630 CJN196630 BZR196630 BPV196630 BFZ196630 AWD196630 AMH196630 ACL196630 SP196630 IT196630 D196630 WVF131094 WLJ131094 WBN131094 VRR131094 VHV131094 UXZ131094 UOD131094 UEH131094 TUL131094 TKP131094 TAT131094 SQX131094 SHB131094 RXF131094 RNJ131094 RDN131094 QTR131094 QJV131094 PZZ131094 PQD131094 PGH131094 OWL131094 OMP131094 OCT131094 NSX131094 NJB131094 MZF131094 MPJ131094 MFN131094 LVR131094 LLV131094 LBZ131094 KSD131094 KIH131094 JYL131094 JOP131094 JET131094 IUX131094 ILB131094 IBF131094 HRJ131094 HHN131094 GXR131094 GNV131094 GDZ131094 FUD131094 FKH131094 FAL131094 EQP131094 EGT131094 DWX131094 DNB131094 DDF131094 CTJ131094 CJN131094 BZR131094 BPV131094 BFZ131094 AWD131094 AMH131094 ACL131094 SP131094 IT131094 D131094 WVF65558 WLJ65558 WBN65558 VRR65558 VHV65558 UXZ65558 UOD65558 UEH65558 TUL65558 TKP65558 TAT65558 SQX65558 SHB65558 RXF65558 RNJ65558 RDN65558 QTR65558 QJV65558 PZZ65558 PQD65558 PGH65558 OWL65558 OMP65558 OCT65558 NSX65558 NJB65558 MZF65558 MPJ65558 MFN65558 LVR65558 LLV65558 LBZ65558 KSD65558 KIH65558 JYL65558 JOP65558 JET65558 IUX65558 ILB65558 IBF65558 HRJ65558 HHN65558 GXR65558 GNV65558 GDZ65558 FUD65558 FKH65558 FAL65558 EQP65558 EGT65558 DWX65558 DNB65558 DDF65558 CTJ65558 CJN65558 BZR65558 BPV65558 BFZ65558 AWD65558 AMH65558 ACL65558 SP65558 IT65558 D65558 WVF28 WLJ28 WBN28 VRR28 VHV28 UXZ28 UOD28 UEH28 TUL28 TKP28 TAT28 SQX28 SHB28 RXF28 RNJ28 RDN28 QTR28 QJV28 PZZ28 PQD28 PGH28 OWL28 OMP28 OCT28 NSX28 NJB28 MZF28 MPJ28 MFN28 LVR28 LLV28 LBZ28 KSD28 KIH28 JYL28 JOP28 JET28 IUX28 ILB28 IBF28 HRJ28 HHN28 GXR28 GNV28 GDZ28 FUD28 FKH28 FAL28 EQP28 EGT28 DWX28 DNB28 DDF28 CTJ28 CJN28 BZR28 BPV28 BFZ28 AWD28 AMH28 ACL28 SP28" xr:uid="{00000000-0002-0000-0A00-000003000000}">
      <formula1>$F$2:$F$3</formula1>
    </dataValidation>
    <dataValidation type="list" allowBlank="1" showInputMessage="1" showErrorMessage="1" sqref="D26 WVF983060 WLJ983060 WBN983060 VRR983060 VHV983060 UXZ983060 UOD983060 UEH983060 TUL983060 TKP983060 TAT983060 SQX983060 SHB983060 RXF983060 RNJ983060 RDN983060 QTR983060 QJV983060 PZZ983060 PQD983060 PGH983060 OWL983060 OMP983060 OCT983060 NSX983060 NJB983060 MZF983060 MPJ983060 MFN983060 LVR983060 LLV983060 LBZ983060 KSD983060 KIH983060 JYL983060 JOP983060 JET983060 IUX983060 ILB983060 IBF983060 HRJ983060 HHN983060 GXR983060 GNV983060 GDZ983060 FUD983060 FKH983060 FAL983060 EQP983060 EGT983060 DWX983060 DNB983060 DDF983060 CTJ983060 CJN983060 BZR983060 BPV983060 BFZ983060 AWD983060 AMH983060 ACL983060 SP983060 IT983060 D983060 WVF917524 WLJ917524 WBN917524 VRR917524 VHV917524 UXZ917524 UOD917524 UEH917524 TUL917524 TKP917524 TAT917524 SQX917524 SHB917524 RXF917524 RNJ917524 RDN917524 QTR917524 QJV917524 PZZ917524 PQD917524 PGH917524 OWL917524 OMP917524 OCT917524 NSX917524 NJB917524 MZF917524 MPJ917524 MFN917524 LVR917524 LLV917524 LBZ917524 KSD917524 KIH917524 JYL917524 JOP917524 JET917524 IUX917524 ILB917524 IBF917524 HRJ917524 HHN917524 GXR917524 GNV917524 GDZ917524 FUD917524 FKH917524 FAL917524 EQP917524 EGT917524 DWX917524 DNB917524 DDF917524 CTJ917524 CJN917524 BZR917524 BPV917524 BFZ917524 AWD917524 AMH917524 ACL917524 SP917524 IT917524 D917524 WVF851988 WLJ851988 WBN851988 VRR851988 VHV851988 UXZ851988 UOD851988 UEH851988 TUL851988 TKP851988 TAT851988 SQX851988 SHB851988 RXF851988 RNJ851988 RDN851988 QTR851988 QJV851988 PZZ851988 PQD851988 PGH851988 OWL851988 OMP851988 OCT851988 NSX851988 NJB851988 MZF851988 MPJ851988 MFN851988 LVR851988 LLV851988 LBZ851988 KSD851988 KIH851988 JYL851988 JOP851988 JET851988 IUX851988 ILB851988 IBF851988 HRJ851988 HHN851988 GXR851988 GNV851988 GDZ851988 FUD851988 FKH851988 FAL851988 EQP851988 EGT851988 DWX851988 DNB851988 DDF851988 CTJ851988 CJN851988 BZR851988 BPV851988 BFZ851988 AWD851988 AMH851988 ACL851988 SP851988 IT851988 D851988 WVF786452 WLJ786452 WBN786452 VRR786452 VHV786452 UXZ786452 UOD786452 UEH786452 TUL786452 TKP786452 TAT786452 SQX786452 SHB786452 RXF786452 RNJ786452 RDN786452 QTR786452 QJV786452 PZZ786452 PQD786452 PGH786452 OWL786452 OMP786452 OCT786452 NSX786452 NJB786452 MZF786452 MPJ786452 MFN786452 LVR786452 LLV786452 LBZ786452 KSD786452 KIH786452 JYL786452 JOP786452 JET786452 IUX786452 ILB786452 IBF786452 HRJ786452 HHN786452 GXR786452 GNV786452 GDZ786452 FUD786452 FKH786452 FAL786452 EQP786452 EGT786452 DWX786452 DNB786452 DDF786452 CTJ786452 CJN786452 BZR786452 BPV786452 BFZ786452 AWD786452 AMH786452 ACL786452 SP786452 IT786452 D786452 WVF720916 WLJ720916 WBN720916 VRR720916 VHV720916 UXZ720916 UOD720916 UEH720916 TUL720916 TKP720916 TAT720916 SQX720916 SHB720916 RXF720916 RNJ720916 RDN720916 QTR720916 QJV720916 PZZ720916 PQD720916 PGH720916 OWL720916 OMP720916 OCT720916 NSX720916 NJB720916 MZF720916 MPJ720916 MFN720916 LVR720916 LLV720916 LBZ720916 KSD720916 KIH720916 JYL720916 JOP720916 JET720916 IUX720916 ILB720916 IBF720916 HRJ720916 HHN720916 GXR720916 GNV720916 GDZ720916 FUD720916 FKH720916 FAL720916 EQP720916 EGT720916 DWX720916 DNB720916 DDF720916 CTJ720916 CJN720916 BZR720916 BPV720916 BFZ720916 AWD720916 AMH720916 ACL720916 SP720916 IT720916 D720916 WVF655380 WLJ655380 WBN655380 VRR655380 VHV655380 UXZ655380 UOD655380 UEH655380 TUL655380 TKP655380 TAT655380 SQX655380 SHB655380 RXF655380 RNJ655380 RDN655380 QTR655380 QJV655380 PZZ655380 PQD655380 PGH655380 OWL655380 OMP655380 OCT655380 NSX655380 NJB655380 MZF655380 MPJ655380 MFN655380 LVR655380 LLV655380 LBZ655380 KSD655380 KIH655380 JYL655380 JOP655380 JET655380 IUX655380 ILB655380 IBF655380 HRJ655380 HHN655380 GXR655380 GNV655380 GDZ655380 FUD655380 FKH655380 FAL655380 EQP655380 EGT655380 DWX655380 DNB655380 DDF655380 CTJ655380 CJN655380 BZR655380 BPV655380 BFZ655380 AWD655380 AMH655380 ACL655380 SP655380 IT655380 D655380 WVF589844 WLJ589844 WBN589844 VRR589844 VHV589844 UXZ589844 UOD589844 UEH589844 TUL589844 TKP589844 TAT589844 SQX589844 SHB589844 RXF589844 RNJ589844 RDN589844 QTR589844 QJV589844 PZZ589844 PQD589844 PGH589844 OWL589844 OMP589844 OCT589844 NSX589844 NJB589844 MZF589844 MPJ589844 MFN589844 LVR589844 LLV589844 LBZ589844 KSD589844 KIH589844 JYL589844 JOP589844 JET589844 IUX589844 ILB589844 IBF589844 HRJ589844 HHN589844 GXR589844 GNV589844 GDZ589844 FUD589844 FKH589844 FAL589844 EQP589844 EGT589844 DWX589844 DNB589844 DDF589844 CTJ589844 CJN589844 BZR589844 BPV589844 BFZ589844 AWD589844 AMH589844 ACL589844 SP589844 IT589844 D589844 WVF524308 WLJ524308 WBN524308 VRR524308 VHV524308 UXZ524308 UOD524308 UEH524308 TUL524308 TKP524308 TAT524308 SQX524308 SHB524308 RXF524308 RNJ524308 RDN524308 QTR524308 QJV524308 PZZ524308 PQD524308 PGH524308 OWL524308 OMP524308 OCT524308 NSX524308 NJB524308 MZF524308 MPJ524308 MFN524308 LVR524308 LLV524308 LBZ524308 KSD524308 KIH524308 JYL524308 JOP524308 JET524308 IUX524308 ILB524308 IBF524308 HRJ524308 HHN524308 GXR524308 GNV524308 GDZ524308 FUD524308 FKH524308 FAL524308 EQP524308 EGT524308 DWX524308 DNB524308 DDF524308 CTJ524308 CJN524308 BZR524308 BPV524308 BFZ524308 AWD524308 AMH524308 ACL524308 SP524308 IT524308 D524308 WVF458772 WLJ458772 WBN458772 VRR458772 VHV458772 UXZ458772 UOD458772 UEH458772 TUL458772 TKP458772 TAT458772 SQX458772 SHB458772 RXF458772 RNJ458772 RDN458772 QTR458772 QJV458772 PZZ458772 PQD458772 PGH458772 OWL458772 OMP458772 OCT458772 NSX458772 NJB458772 MZF458772 MPJ458772 MFN458772 LVR458772 LLV458772 LBZ458772 KSD458772 KIH458772 JYL458772 JOP458772 JET458772 IUX458772 ILB458772 IBF458772 HRJ458772 HHN458772 GXR458772 GNV458772 GDZ458772 FUD458772 FKH458772 FAL458772 EQP458772 EGT458772 DWX458772 DNB458772 DDF458772 CTJ458772 CJN458772 BZR458772 BPV458772 BFZ458772 AWD458772 AMH458772 ACL458772 SP458772 IT458772 D458772 WVF393236 WLJ393236 WBN393236 VRR393236 VHV393236 UXZ393236 UOD393236 UEH393236 TUL393236 TKP393236 TAT393236 SQX393236 SHB393236 RXF393236 RNJ393236 RDN393236 QTR393236 QJV393236 PZZ393236 PQD393236 PGH393236 OWL393236 OMP393236 OCT393236 NSX393236 NJB393236 MZF393236 MPJ393236 MFN393236 LVR393236 LLV393236 LBZ393236 KSD393236 KIH393236 JYL393236 JOP393236 JET393236 IUX393236 ILB393236 IBF393236 HRJ393236 HHN393236 GXR393236 GNV393236 GDZ393236 FUD393236 FKH393236 FAL393236 EQP393236 EGT393236 DWX393236 DNB393236 DDF393236 CTJ393236 CJN393236 BZR393236 BPV393236 BFZ393236 AWD393236 AMH393236 ACL393236 SP393236 IT393236 D393236 WVF327700 WLJ327700 WBN327700 VRR327700 VHV327700 UXZ327700 UOD327700 UEH327700 TUL327700 TKP327700 TAT327700 SQX327700 SHB327700 RXF327700 RNJ327700 RDN327700 QTR327700 QJV327700 PZZ327700 PQD327700 PGH327700 OWL327700 OMP327700 OCT327700 NSX327700 NJB327700 MZF327700 MPJ327700 MFN327700 LVR327700 LLV327700 LBZ327700 KSD327700 KIH327700 JYL327700 JOP327700 JET327700 IUX327700 ILB327700 IBF327700 HRJ327700 HHN327700 GXR327700 GNV327700 GDZ327700 FUD327700 FKH327700 FAL327700 EQP327700 EGT327700 DWX327700 DNB327700 DDF327700 CTJ327700 CJN327700 BZR327700 BPV327700 BFZ327700 AWD327700 AMH327700 ACL327700 SP327700 IT327700 D327700 WVF262164 WLJ262164 WBN262164 VRR262164 VHV262164 UXZ262164 UOD262164 UEH262164 TUL262164 TKP262164 TAT262164 SQX262164 SHB262164 RXF262164 RNJ262164 RDN262164 QTR262164 QJV262164 PZZ262164 PQD262164 PGH262164 OWL262164 OMP262164 OCT262164 NSX262164 NJB262164 MZF262164 MPJ262164 MFN262164 LVR262164 LLV262164 LBZ262164 KSD262164 KIH262164 JYL262164 JOP262164 JET262164 IUX262164 ILB262164 IBF262164 HRJ262164 HHN262164 GXR262164 GNV262164 GDZ262164 FUD262164 FKH262164 FAL262164 EQP262164 EGT262164 DWX262164 DNB262164 DDF262164 CTJ262164 CJN262164 BZR262164 BPV262164 BFZ262164 AWD262164 AMH262164 ACL262164 SP262164 IT262164 D262164 WVF196628 WLJ196628 WBN196628 VRR196628 VHV196628 UXZ196628 UOD196628 UEH196628 TUL196628 TKP196628 TAT196628 SQX196628 SHB196628 RXF196628 RNJ196628 RDN196628 QTR196628 QJV196628 PZZ196628 PQD196628 PGH196628 OWL196628 OMP196628 OCT196628 NSX196628 NJB196628 MZF196628 MPJ196628 MFN196628 LVR196628 LLV196628 LBZ196628 KSD196628 KIH196628 JYL196628 JOP196628 JET196628 IUX196628 ILB196628 IBF196628 HRJ196628 HHN196628 GXR196628 GNV196628 GDZ196628 FUD196628 FKH196628 FAL196628 EQP196628 EGT196628 DWX196628 DNB196628 DDF196628 CTJ196628 CJN196628 BZR196628 BPV196628 BFZ196628 AWD196628 AMH196628 ACL196628 SP196628 IT196628 D196628 WVF131092 WLJ131092 WBN131092 VRR131092 VHV131092 UXZ131092 UOD131092 UEH131092 TUL131092 TKP131092 TAT131092 SQX131092 SHB131092 RXF131092 RNJ131092 RDN131092 QTR131092 QJV131092 PZZ131092 PQD131092 PGH131092 OWL131092 OMP131092 OCT131092 NSX131092 NJB131092 MZF131092 MPJ131092 MFN131092 LVR131092 LLV131092 LBZ131092 KSD131092 KIH131092 JYL131092 JOP131092 JET131092 IUX131092 ILB131092 IBF131092 HRJ131092 HHN131092 GXR131092 GNV131092 GDZ131092 FUD131092 FKH131092 FAL131092 EQP131092 EGT131092 DWX131092 DNB131092 DDF131092 CTJ131092 CJN131092 BZR131092 BPV131092 BFZ131092 AWD131092 AMH131092 ACL131092 SP131092 IT131092 D131092 WVF65556 WLJ65556 WBN65556 VRR65556 VHV65556 UXZ65556 UOD65556 UEH65556 TUL65556 TKP65556 TAT65556 SQX65556 SHB65556 RXF65556 RNJ65556 RDN65556 QTR65556 QJV65556 PZZ65556 PQD65556 PGH65556 OWL65556 OMP65556 OCT65556 NSX65556 NJB65556 MZF65556 MPJ65556 MFN65556 LVR65556 LLV65556 LBZ65556 KSD65556 KIH65556 JYL65556 JOP65556 JET65556 IUX65556 ILB65556 IBF65556 HRJ65556 HHN65556 GXR65556 GNV65556 GDZ65556 FUD65556 FKH65556 FAL65556 EQP65556 EGT65556 DWX65556 DNB65556 DDF65556 CTJ65556 CJN65556 BZR65556 BPV65556 BFZ65556 AWD65556 AMH65556 ACL65556 SP65556 IT65556 D65556 WVF26 WLJ26 WBN26 VRR26 VHV26 UXZ26 UOD26 UEH26 TUL26 TKP26 TAT26 SQX26 SHB26 RXF26 RNJ26 RDN26 QTR26 QJV26 PZZ26 PQD26 PGH26 OWL26 OMP26 OCT26 NSX26 NJB26 MZF26 MPJ26 MFN26 LVR26 LLV26 LBZ26 KSD26 KIH26 JYL26 JOP26 JET26 IUX26 ILB26 IBF26 HRJ26 HHN26 GXR26 GNV26 GDZ26 FUD26 FKH26 FAL26 EQP26 EGT26 DWX26 DNB26 DDF26 CTJ26 CJN26 BZR26 BPV26 BFZ26 AWD26 AMH26 ACL26 SP26 IT26" xr:uid="{00000000-0002-0000-0A00-000004000000}">
      <formula1>$K$2:$K$5</formula1>
    </dataValidation>
    <dataValidation type="whole" allowBlank="1" showInputMessage="1" showErrorMessage="1" sqref="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WVF983048" xr:uid="{00000000-0002-0000-0A00-000005000000}">
      <formula1>IZ65531</formula1>
      <formula2>IZ65532</formula2>
    </dataValidation>
    <dataValidation type="date" allowBlank="1" showInputMessage="1" showErrorMessage="1" sqref="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983046" xr:uid="{00000000-0002-0000-0A00-000006000000}">
      <formula1>JD65531</formula1>
      <formula2>JD65532</formula2>
    </dataValidation>
    <dataValidation type="list" allowBlank="1" showInputMessage="1" showErrorMessage="1" sqref="D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D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D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D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D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D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D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D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D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D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D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D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D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D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D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xr:uid="{00000000-0002-0000-0A00-000007000000}">
      <formula1>#REF!</formula1>
    </dataValidation>
    <dataValidation type="list" allowBlank="1" showInputMessage="1" showErrorMessage="1" sqref="D12" xr:uid="{00000000-0002-0000-0A00-000008000000}">
      <formula1>$O$2:$O$6</formula1>
    </dataValidation>
    <dataValidation type="list" allowBlank="1" showInputMessage="1" showErrorMessage="1" sqref="D30" xr:uid="{00000000-0002-0000-0A00-000009000000}">
      <formula1>$R$2:$R$3</formula1>
    </dataValidation>
    <dataValidation type="list" allowBlank="1" showInputMessage="1" showErrorMessage="1" sqref="D40" xr:uid="{00000000-0002-0000-0A00-00000A000000}">
      <formula1>$U$2:$U$5</formula1>
    </dataValidation>
    <dataValidation type="whole" allowBlank="1" showInputMessage="1" showErrorMessage="1" sqref="D34" xr:uid="{00000000-0002-0000-0A00-00000B000000}">
      <formula1>M2</formula1>
      <formula2>M3</formula2>
    </dataValidation>
    <dataValidation type="whole" allowBlank="1" showInputMessage="1" showErrorMessage="1" sqref="D16" xr:uid="{00000000-0002-0000-0A00-00000C000000}">
      <formula1>I2</formula1>
      <formula2>I3</formula2>
    </dataValidation>
    <dataValidation type="date" allowBlank="1" showInputMessage="1" showErrorMessage="1" sqref="D14" xr:uid="{00000000-0002-0000-0A00-00000D000000}">
      <formula1>M2</formula1>
      <formula2>M3</formula2>
    </dataValidation>
    <dataValidation type="whole" allowBlank="1" showInputMessage="1" showErrorMessage="1" sqref="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xr:uid="{00000000-0002-0000-0A00-00000E000000}">
      <formula1>IZ2</formula1>
      <formula2>IZ3</formula2>
    </dataValidation>
    <dataValidation type="date" allowBlank="1" showInputMessage="1" showErrorMessage="1" sqref="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xr:uid="{00000000-0002-0000-0A00-00000F000000}">
      <formula1>JD2</formula1>
      <formula2>JD3</formula2>
    </dataValidation>
    <dataValidation type="list" allowBlank="1" showInputMessage="1" showErrorMessage="1" sqref="D18 WVF983052 WLJ983052 WBN983052 VRR983052 VHV983052 UXZ983052 UOD983052 UEH983052 TUL983052 TKP983052 TAT983052 SQX983052 SHB983052 RXF983052 RNJ983052 RDN983052 QTR983052 QJV983052 PZZ983052 PQD983052 PGH983052 OWL983052 OMP983052 OCT983052 NSX983052 NJB983052 MZF983052 MPJ983052 MFN983052 LVR983052 LLV983052 LBZ983052 KSD983052 KIH983052 JYL983052 JOP983052 JET983052 IUX983052 ILB983052 IBF983052 HRJ983052 HHN983052 GXR983052 GNV983052 GDZ983052 FUD983052 FKH983052 FAL983052 EQP983052 EGT983052 DWX983052 DNB983052 DDF983052 CTJ983052 CJN983052 BZR983052 BPV983052 BFZ983052 AWD983052 AMH983052 ACL983052 SP983052 IT983052 D983052 WVF917516 WLJ917516 WBN917516 VRR917516 VHV917516 UXZ917516 UOD917516 UEH917516 TUL917516 TKP917516 TAT917516 SQX917516 SHB917516 RXF917516 RNJ917516 RDN917516 QTR917516 QJV917516 PZZ917516 PQD917516 PGH917516 OWL917516 OMP917516 OCT917516 NSX917516 NJB917516 MZF917516 MPJ917516 MFN917516 LVR917516 LLV917516 LBZ917516 KSD917516 KIH917516 JYL917516 JOP917516 JET917516 IUX917516 ILB917516 IBF917516 HRJ917516 HHN917516 GXR917516 GNV917516 GDZ917516 FUD917516 FKH917516 FAL917516 EQP917516 EGT917516 DWX917516 DNB917516 DDF917516 CTJ917516 CJN917516 BZR917516 BPV917516 BFZ917516 AWD917516 AMH917516 ACL917516 SP917516 IT917516 D917516 WVF851980 WLJ851980 WBN851980 VRR851980 VHV851980 UXZ851980 UOD851980 UEH851980 TUL851980 TKP851980 TAT851980 SQX851980 SHB851980 RXF851980 RNJ851980 RDN851980 QTR851980 QJV851980 PZZ851980 PQD851980 PGH851980 OWL851980 OMP851980 OCT851980 NSX851980 NJB851980 MZF851980 MPJ851980 MFN851980 LVR851980 LLV851980 LBZ851980 KSD851980 KIH851980 JYL851980 JOP851980 JET851980 IUX851980 ILB851980 IBF851980 HRJ851980 HHN851980 GXR851980 GNV851980 GDZ851980 FUD851980 FKH851980 FAL851980 EQP851980 EGT851980 DWX851980 DNB851980 DDF851980 CTJ851980 CJN851980 BZR851980 BPV851980 BFZ851980 AWD851980 AMH851980 ACL851980 SP851980 IT851980 D851980 WVF786444 WLJ786444 WBN786444 VRR786444 VHV786444 UXZ786444 UOD786444 UEH786444 TUL786444 TKP786444 TAT786444 SQX786444 SHB786444 RXF786444 RNJ786444 RDN786444 QTR786444 QJV786444 PZZ786444 PQD786444 PGH786444 OWL786444 OMP786444 OCT786444 NSX786444 NJB786444 MZF786444 MPJ786444 MFN786444 LVR786444 LLV786444 LBZ786444 KSD786444 KIH786444 JYL786444 JOP786444 JET786444 IUX786444 ILB786444 IBF786444 HRJ786444 HHN786444 GXR786444 GNV786444 GDZ786444 FUD786444 FKH786444 FAL786444 EQP786444 EGT786444 DWX786444 DNB786444 DDF786444 CTJ786444 CJN786444 BZR786444 BPV786444 BFZ786444 AWD786444 AMH786444 ACL786444 SP786444 IT786444 D786444 WVF720908 WLJ720908 WBN720908 VRR720908 VHV720908 UXZ720908 UOD720908 UEH720908 TUL720908 TKP720908 TAT720908 SQX720908 SHB720908 RXF720908 RNJ720908 RDN720908 QTR720908 QJV720908 PZZ720908 PQD720908 PGH720908 OWL720908 OMP720908 OCT720908 NSX720908 NJB720908 MZF720908 MPJ720908 MFN720908 LVR720908 LLV720908 LBZ720908 KSD720908 KIH720908 JYL720908 JOP720908 JET720908 IUX720908 ILB720908 IBF720908 HRJ720908 HHN720908 GXR720908 GNV720908 GDZ720908 FUD720908 FKH720908 FAL720908 EQP720908 EGT720908 DWX720908 DNB720908 DDF720908 CTJ720908 CJN720908 BZR720908 BPV720908 BFZ720908 AWD720908 AMH720908 ACL720908 SP720908 IT720908 D720908 WVF655372 WLJ655372 WBN655372 VRR655372 VHV655372 UXZ655372 UOD655372 UEH655372 TUL655372 TKP655372 TAT655372 SQX655372 SHB655372 RXF655372 RNJ655372 RDN655372 QTR655372 QJV655372 PZZ655372 PQD655372 PGH655372 OWL655372 OMP655372 OCT655372 NSX655372 NJB655372 MZF655372 MPJ655372 MFN655372 LVR655372 LLV655372 LBZ655372 KSD655372 KIH655372 JYL655372 JOP655372 JET655372 IUX655372 ILB655372 IBF655372 HRJ655372 HHN655372 GXR655372 GNV655372 GDZ655372 FUD655372 FKH655372 FAL655372 EQP655372 EGT655372 DWX655372 DNB655372 DDF655372 CTJ655372 CJN655372 BZR655372 BPV655372 BFZ655372 AWD655372 AMH655372 ACL655372 SP655372 IT655372 D655372 WVF589836 WLJ589836 WBN589836 VRR589836 VHV589836 UXZ589836 UOD589836 UEH589836 TUL589836 TKP589836 TAT589836 SQX589836 SHB589836 RXF589836 RNJ589836 RDN589836 QTR589836 QJV589836 PZZ589836 PQD589836 PGH589836 OWL589836 OMP589836 OCT589836 NSX589836 NJB589836 MZF589836 MPJ589836 MFN589836 LVR589836 LLV589836 LBZ589836 KSD589836 KIH589836 JYL589836 JOP589836 JET589836 IUX589836 ILB589836 IBF589836 HRJ589836 HHN589836 GXR589836 GNV589836 GDZ589836 FUD589836 FKH589836 FAL589836 EQP589836 EGT589836 DWX589836 DNB589836 DDF589836 CTJ589836 CJN589836 BZR589836 BPV589836 BFZ589836 AWD589836 AMH589836 ACL589836 SP589836 IT589836 D589836 WVF524300 WLJ524300 WBN524300 VRR524300 VHV524300 UXZ524300 UOD524300 UEH524300 TUL524300 TKP524300 TAT524300 SQX524300 SHB524300 RXF524300 RNJ524300 RDN524300 QTR524300 QJV524300 PZZ524300 PQD524300 PGH524300 OWL524300 OMP524300 OCT524300 NSX524300 NJB524300 MZF524300 MPJ524300 MFN524300 LVR524300 LLV524300 LBZ524300 KSD524300 KIH524300 JYL524300 JOP524300 JET524300 IUX524300 ILB524300 IBF524300 HRJ524300 HHN524300 GXR524300 GNV524300 GDZ524300 FUD524300 FKH524300 FAL524300 EQP524300 EGT524300 DWX524300 DNB524300 DDF524300 CTJ524300 CJN524300 BZR524300 BPV524300 BFZ524300 AWD524300 AMH524300 ACL524300 SP524300 IT524300 D524300 WVF458764 WLJ458764 WBN458764 VRR458764 VHV458764 UXZ458764 UOD458764 UEH458764 TUL458764 TKP458764 TAT458764 SQX458764 SHB458764 RXF458764 RNJ458764 RDN458764 QTR458764 QJV458764 PZZ458764 PQD458764 PGH458764 OWL458764 OMP458764 OCT458764 NSX458764 NJB458764 MZF458764 MPJ458764 MFN458764 LVR458764 LLV458764 LBZ458764 KSD458764 KIH458764 JYL458764 JOP458764 JET458764 IUX458764 ILB458764 IBF458764 HRJ458764 HHN458764 GXR458764 GNV458764 GDZ458764 FUD458764 FKH458764 FAL458764 EQP458764 EGT458764 DWX458764 DNB458764 DDF458764 CTJ458764 CJN458764 BZR458764 BPV458764 BFZ458764 AWD458764 AMH458764 ACL458764 SP458764 IT458764 D458764 WVF393228 WLJ393228 WBN393228 VRR393228 VHV393228 UXZ393228 UOD393228 UEH393228 TUL393228 TKP393228 TAT393228 SQX393228 SHB393228 RXF393228 RNJ393228 RDN393228 QTR393228 QJV393228 PZZ393228 PQD393228 PGH393228 OWL393228 OMP393228 OCT393228 NSX393228 NJB393228 MZF393228 MPJ393228 MFN393228 LVR393228 LLV393228 LBZ393228 KSD393228 KIH393228 JYL393228 JOP393228 JET393228 IUX393228 ILB393228 IBF393228 HRJ393228 HHN393228 GXR393228 GNV393228 GDZ393228 FUD393228 FKH393228 FAL393228 EQP393228 EGT393228 DWX393228 DNB393228 DDF393228 CTJ393228 CJN393228 BZR393228 BPV393228 BFZ393228 AWD393228 AMH393228 ACL393228 SP393228 IT393228 D393228 WVF327692 WLJ327692 WBN327692 VRR327692 VHV327692 UXZ327692 UOD327692 UEH327692 TUL327692 TKP327692 TAT327692 SQX327692 SHB327692 RXF327692 RNJ327692 RDN327692 QTR327692 QJV327692 PZZ327692 PQD327692 PGH327692 OWL327692 OMP327692 OCT327692 NSX327692 NJB327692 MZF327692 MPJ327692 MFN327692 LVR327692 LLV327692 LBZ327692 KSD327692 KIH327692 JYL327692 JOP327692 JET327692 IUX327692 ILB327692 IBF327692 HRJ327692 HHN327692 GXR327692 GNV327692 GDZ327692 FUD327692 FKH327692 FAL327692 EQP327692 EGT327692 DWX327692 DNB327692 DDF327692 CTJ327692 CJN327692 BZR327692 BPV327692 BFZ327692 AWD327692 AMH327692 ACL327692 SP327692 IT327692 D327692 WVF262156 WLJ262156 WBN262156 VRR262156 VHV262156 UXZ262156 UOD262156 UEH262156 TUL262156 TKP262156 TAT262156 SQX262156 SHB262156 RXF262156 RNJ262156 RDN262156 QTR262156 QJV262156 PZZ262156 PQD262156 PGH262156 OWL262156 OMP262156 OCT262156 NSX262156 NJB262156 MZF262156 MPJ262156 MFN262156 LVR262156 LLV262156 LBZ262156 KSD262156 KIH262156 JYL262156 JOP262156 JET262156 IUX262156 ILB262156 IBF262156 HRJ262156 HHN262156 GXR262156 GNV262156 GDZ262156 FUD262156 FKH262156 FAL262156 EQP262156 EGT262156 DWX262156 DNB262156 DDF262156 CTJ262156 CJN262156 BZR262156 BPV262156 BFZ262156 AWD262156 AMH262156 ACL262156 SP262156 IT262156 D262156 WVF196620 WLJ196620 WBN196620 VRR196620 VHV196620 UXZ196620 UOD196620 UEH196620 TUL196620 TKP196620 TAT196620 SQX196620 SHB196620 RXF196620 RNJ196620 RDN196620 QTR196620 QJV196620 PZZ196620 PQD196620 PGH196620 OWL196620 OMP196620 OCT196620 NSX196620 NJB196620 MZF196620 MPJ196620 MFN196620 LVR196620 LLV196620 LBZ196620 KSD196620 KIH196620 JYL196620 JOP196620 JET196620 IUX196620 ILB196620 IBF196620 HRJ196620 HHN196620 GXR196620 GNV196620 GDZ196620 FUD196620 FKH196620 FAL196620 EQP196620 EGT196620 DWX196620 DNB196620 DDF196620 CTJ196620 CJN196620 BZR196620 BPV196620 BFZ196620 AWD196620 AMH196620 ACL196620 SP196620 IT196620 D196620 WVF131084 WLJ131084 WBN131084 VRR131084 VHV131084 UXZ131084 UOD131084 UEH131084 TUL131084 TKP131084 TAT131084 SQX131084 SHB131084 RXF131084 RNJ131084 RDN131084 QTR131084 QJV131084 PZZ131084 PQD131084 PGH131084 OWL131084 OMP131084 OCT131084 NSX131084 NJB131084 MZF131084 MPJ131084 MFN131084 LVR131084 LLV131084 LBZ131084 KSD131084 KIH131084 JYL131084 JOP131084 JET131084 IUX131084 ILB131084 IBF131084 HRJ131084 HHN131084 GXR131084 GNV131084 GDZ131084 FUD131084 FKH131084 FAL131084 EQP131084 EGT131084 DWX131084 DNB131084 DDF131084 CTJ131084 CJN131084 BZR131084 BPV131084 BFZ131084 AWD131084 AMH131084 ACL131084 SP131084 IT131084 D131084 WVF65548 WLJ65548 WBN65548 VRR65548 VHV65548 UXZ65548 UOD65548 UEH65548 TUL65548 TKP65548 TAT65548 SQX65548 SHB65548 RXF65548 RNJ65548 RDN65548 QTR65548 QJV65548 PZZ65548 PQD65548 PGH65548 OWL65548 OMP65548 OCT65548 NSX65548 NJB65548 MZF65548 MPJ65548 MFN65548 LVR65548 LLV65548 LBZ65548 KSD65548 KIH65548 JYL65548 JOP65548 JET65548 IUX65548 ILB65548 IBF65548 HRJ65548 HHN65548 GXR65548 GNV65548 GDZ65548 FUD65548 FKH65548 FAL65548 EQP65548 EGT65548 DWX65548 DNB65548 DDF65548 CTJ65548 CJN65548 BZR65548 BPV65548 BFZ65548 AWD65548 AMH65548 ACL65548 SP65548 IT65548 D65548 WVF18 WLJ18 WBN18 VRR18 VHV18 UXZ18 UOD18 UEH18 TUL18 TKP18 TAT18 SQX18 SHB18 RXF18 RNJ18 RDN18 QTR18 QJV18 PZZ18 PQD18 PGH18 OWL18 OMP18 OCT18 NSX18 NJB18 MZF18 MPJ18 MFN18 LVR18 LLV18 LBZ18 KSD18 KIH18 JYL18 JOP18 JET18 IUX18 ILB18 IBF18 HRJ18 HHN18 GXR18 GNV18 GDZ18 FUD18 FKH18 FAL18 EQP18 EGT18 DWX18 DNB18 DDF18 CTJ18 CJN18 BZR18 BPV18 BFZ18 AWD18 AMH18 ACL18 SP18 IT18 D38" xr:uid="{00000000-0002-0000-0A00-000010000000}">
      <formula1>$F$6:$F$7</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E8CB6FEA-F56C-4F77-B283-3ABF3325F1F3}">
            <xm:f>NOT(ISERROR(SEARCH($D$30&lt;&gt;"SI",C32)))</xm:f>
            <xm:f>$D$30&lt;&gt;"SI"</xm:f>
            <x14:dxf>
              <font>
                <color theme="0"/>
              </font>
              <fill>
                <patternFill>
                  <bgColor theme="0"/>
                </patternFill>
              </fill>
            </x14:dxf>
          </x14:cfRule>
          <xm:sqref>C32:D32</xm:sqref>
        </x14:conditionalFormatting>
        <x14:conditionalFormatting xmlns:xm="http://schemas.microsoft.com/office/excel/2006/main">
          <x14:cfRule type="containsText" priority="10" operator="containsText" id="{61EBEC22-84C5-44E1-AB7D-18A916E9045F}">
            <xm:f>NOT(ISERROR(SEARCH($D$30&lt;&gt;"SI",E34)))</xm:f>
            <xm:f>$D$30&lt;&gt;"SI"</xm:f>
            <x14:dxf>
              <font>
                <color theme="0"/>
              </font>
              <fill>
                <patternFill>
                  <bgColor theme="0"/>
                </patternFill>
              </fill>
            </x14:dxf>
          </x14:cfRule>
          <xm:sqref>E34</xm:sqref>
        </x14:conditionalFormatting>
        <x14:conditionalFormatting xmlns:xm="http://schemas.microsoft.com/office/excel/2006/main">
          <x14:cfRule type="containsText" priority="6" operator="containsText" id="{DD286F83-2803-4ADE-AE2E-CC6BE4B4169B}">
            <xm:f>NOT(ISERROR(SEARCH($D$30&lt;&gt;"SI",D36)))</xm:f>
            <xm:f>$D$30&lt;&gt;"SI"</xm:f>
            <x14:dxf>
              <font>
                <color theme="0"/>
              </font>
              <fill>
                <patternFill>
                  <bgColor theme="0"/>
                </patternFill>
              </fill>
            </x14:dxf>
          </x14:cfRule>
          <xm:sqref>D36</xm:sqref>
        </x14:conditionalFormatting>
        <x14:conditionalFormatting xmlns:xm="http://schemas.microsoft.com/office/excel/2006/main">
          <x14:cfRule type="containsText" priority="4" operator="containsText" id="{CD3E07C4-B9D6-49F3-95ED-65DE03E1E1C6}">
            <xm:f>NOT(ISERROR(SEARCH($D$30&lt;&gt;"SI",D38)))</xm:f>
            <xm:f>$D$30&lt;&gt;"SI"</xm:f>
            <x14:dxf>
              <font>
                <color theme="0"/>
              </font>
              <fill>
                <patternFill>
                  <bgColor theme="0"/>
                </patternFill>
              </fill>
            </x14:dxf>
          </x14:cfRule>
          <xm:sqref>D38</xm:sqref>
        </x14:conditionalFormatting>
        <x14:conditionalFormatting xmlns:xm="http://schemas.microsoft.com/office/excel/2006/main">
          <x14:cfRule type="containsText" priority="2" operator="containsText" id="{F57EC07C-31B9-4617-AB83-E7F623212DDF}">
            <xm:f>NOT(ISERROR(SEARCH($D$30&lt;&gt;"SI",D34)))</xm:f>
            <xm:f>$D$30&lt;&gt;"SI"</xm:f>
            <x14:dxf>
              <font>
                <color theme="0"/>
              </font>
              <fill>
                <patternFill>
                  <bgColor theme="0"/>
                </patternFill>
              </fill>
            </x14:dxf>
          </x14:cfRule>
          <xm:sqref>D34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VW60"/>
  <sheetViews>
    <sheetView showGridLines="0" zoomScale="90" zoomScaleNormal="90" workbookViewId="0">
      <selection activeCell="B20" sqref="B20:G20"/>
    </sheetView>
  </sheetViews>
  <sheetFormatPr baseColWidth="10" defaultColWidth="0" defaultRowHeight="12.75" customHeight="1" zeroHeight="1" x14ac:dyDescent="0.25"/>
  <cols>
    <col min="1" max="1" width="2.81640625" style="677" customWidth="1"/>
    <col min="2" max="2" width="14.7265625" style="677" customWidth="1"/>
    <col min="3" max="6" width="7.1796875" style="677" customWidth="1"/>
    <col min="7" max="14" width="5.7265625" style="677" customWidth="1"/>
    <col min="15" max="16" width="5.7265625" style="683" customWidth="1"/>
    <col min="17" max="17" width="2.81640625" style="677" customWidth="1"/>
    <col min="18" max="19" width="5.7265625" style="677" hidden="1"/>
    <col min="20" max="256" width="9.1796875" style="677" hidden="1"/>
    <col min="257" max="257" width="3.54296875" style="677" hidden="1"/>
    <col min="258" max="258" width="12.54296875" style="677" hidden="1"/>
    <col min="259" max="259" width="17.1796875" style="677" hidden="1"/>
    <col min="260" max="260" width="3.54296875" style="677" hidden="1"/>
    <col min="261" max="264" width="7.54296875" style="677" hidden="1"/>
    <col min="265" max="265" width="3.54296875" style="677" hidden="1"/>
    <col min="266" max="269" width="7.54296875" style="677" hidden="1"/>
    <col min="270" max="271" width="3.54296875" style="677" hidden="1"/>
    <col min="272" max="512" width="9.1796875" style="677" hidden="1"/>
    <col min="513" max="513" width="3.54296875" style="677" hidden="1"/>
    <col min="514" max="514" width="12.54296875" style="677" hidden="1"/>
    <col min="515" max="515" width="17.1796875" style="677" hidden="1"/>
    <col min="516" max="516" width="3.54296875" style="677" hidden="1"/>
    <col min="517" max="520" width="7.54296875" style="677" hidden="1"/>
    <col min="521" max="521" width="3.54296875" style="677" hidden="1"/>
    <col min="522" max="525" width="7.54296875" style="677" hidden="1"/>
    <col min="526" max="527" width="3.54296875" style="677" hidden="1"/>
    <col min="528" max="768" width="9.1796875" style="677" hidden="1"/>
    <col min="769" max="769" width="3.54296875" style="677" hidden="1"/>
    <col min="770" max="770" width="12.54296875" style="677" hidden="1"/>
    <col min="771" max="771" width="17.1796875" style="677" hidden="1"/>
    <col min="772" max="772" width="3.54296875" style="677" hidden="1"/>
    <col min="773" max="776" width="7.54296875" style="677" hidden="1"/>
    <col min="777" max="777" width="3.54296875" style="677" hidden="1"/>
    <col min="778" max="781" width="7.54296875" style="677" hidden="1"/>
    <col min="782" max="783" width="3.54296875" style="677" hidden="1"/>
    <col min="784" max="1024" width="9.1796875" style="677" hidden="1"/>
    <col min="1025" max="1025" width="3.54296875" style="677" hidden="1"/>
    <col min="1026" max="1026" width="12.54296875" style="677" hidden="1"/>
    <col min="1027" max="1027" width="17.1796875" style="677" hidden="1"/>
    <col min="1028" max="1028" width="3.54296875" style="677" hidden="1"/>
    <col min="1029" max="1032" width="7.54296875" style="677" hidden="1"/>
    <col min="1033" max="1033" width="3.54296875" style="677" hidden="1"/>
    <col min="1034" max="1037" width="7.54296875" style="677" hidden="1"/>
    <col min="1038" max="1039" width="3.54296875" style="677" hidden="1"/>
    <col min="1040" max="1280" width="9.1796875" style="677" hidden="1"/>
    <col min="1281" max="1281" width="3.54296875" style="677" hidden="1"/>
    <col min="1282" max="1282" width="12.54296875" style="677" hidden="1"/>
    <col min="1283" max="1283" width="17.1796875" style="677" hidden="1"/>
    <col min="1284" max="1284" width="3.54296875" style="677" hidden="1"/>
    <col min="1285" max="1288" width="7.54296875" style="677" hidden="1"/>
    <col min="1289" max="1289" width="3.54296875" style="677" hidden="1"/>
    <col min="1290" max="1293" width="7.54296875" style="677" hidden="1"/>
    <col min="1294" max="1295" width="3.54296875" style="677" hidden="1"/>
    <col min="1296" max="1536" width="9.1796875" style="677" hidden="1"/>
    <col min="1537" max="1537" width="3.54296875" style="677" hidden="1"/>
    <col min="1538" max="1538" width="12.54296875" style="677" hidden="1"/>
    <col min="1539" max="1539" width="17.1796875" style="677" hidden="1"/>
    <col min="1540" max="1540" width="3.54296875" style="677" hidden="1"/>
    <col min="1541" max="1544" width="7.54296875" style="677" hidden="1"/>
    <col min="1545" max="1545" width="3.54296875" style="677" hidden="1"/>
    <col min="1546" max="1549" width="7.54296875" style="677" hidden="1"/>
    <col min="1550" max="1551" width="3.54296875" style="677" hidden="1"/>
    <col min="1552" max="1792" width="9.1796875" style="677" hidden="1"/>
    <col min="1793" max="1793" width="3.54296875" style="677" hidden="1"/>
    <col min="1794" max="1794" width="12.54296875" style="677" hidden="1"/>
    <col min="1795" max="1795" width="17.1796875" style="677" hidden="1"/>
    <col min="1796" max="1796" width="3.54296875" style="677" hidden="1"/>
    <col min="1797" max="1800" width="7.54296875" style="677" hidden="1"/>
    <col min="1801" max="1801" width="3.54296875" style="677" hidden="1"/>
    <col min="1802" max="1805" width="7.54296875" style="677" hidden="1"/>
    <col min="1806" max="1807" width="3.54296875" style="677" hidden="1"/>
    <col min="1808" max="2048" width="9.1796875" style="677" hidden="1"/>
    <col min="2049" max="2049" width="3.54296875" style="677" hidden="1"/>
    <col min="2050" max="2050" width="12.54296875" style="677" hidden="1"/>
    <col min="2051" max="2051" width="17.1796875" style="677" hidden="1"/>
    <col min="2052" max="2052" width="3.54296875" style="677" hidden="1"/>
    <col min="2053" max="2056" width="7.54296875" style="677" hidden="1"/>
    <col min="2057" max="2057" width="3.54296875" style="677" hidden="1"/>
    <col min="2058" max="2061" width="7.54296875" style="677" hidden="1"/>
    <col min="2062" max="2063" width="3.54296875" style="677" hidden="1"/>
    <col min="2064" max="2304" width="9.1796875" style="677" hidden="1"/>
    <col min="2305" max="2305" width="3.54296875" style="677" hidden="1"/>
    <col min="2306" max="2306" width="12.54296875" style="677" hidden="1"/>
    <col min="2307" max="2307" width="17.1796875" style="677" hidden="1"/>
    <col min="2308" max="2308" width="3.54296875" style="677" hidden="1"/>
    <col min="2309" max="2312" width="7.54296875" style="677" hidden="1"/>
    <col min="2313" max="2313" width="3.54296875" style="677" hidden="1"/>
    <col min="2314" max="2317" width="7.54296875" style="677" hidden="1"/>
    <col min="2318" max="2319" width="3.54296875" style="677" hidden="1"/>
    <col min="2320" max="2560" width="9.1796875" style="677" hidden="1"/>
    <col min="2561" max="2561" width="3.54296875" style="677" hidden="1"/>
    <col min="2562" max="2562" width="12.54296875" style="677" hidden="1"/>
    <col min="2563" max="2563" width="17.1796875" style="677" hidden="1"/>
    <col min="2564" max="2564" width="3.54296875" style="677" hidden="1"/>
    <col min="2565" max="2568" width="7.54296875" style="677" hidden="1"/>
    <col min="2569" max="2569" width="3.54296875" style="677" hidden="1"/>
    <col min="2570" max="2573" width="7.54296875" style="677" hidden="1"/>
    <col min="2574" max="2575" width="3.54296875" style="677" hidden="1"/>
    <col min="2576" max="2816" width="9.1796875" style="677" hidden="1"/>
    <col min="2817" max="2817" width="3.54296875" style="677" hidden="1"/>
    <col min="2818" max="2818" width="12.54296875" style="677" hidden="1"/>
    <col min="2819" max="2819" width="17.1796875" style="677" hidden="1"/>
    <col min="2820" max="2820" width="3.54296875" style="677" hidden="1"/>
    <col min="2821" max="2824" width="7.54296875" style="677" hidden="1"/>
    <col min="2825" max="2825" width="3.54296875" style="677" hidden="1"/>
    <col min="2826" max="2829" width="7.54296875" style="677" hidden="1"/>
    <col min="2830" max="2831" width="3.54296875" style="677" hidden="1"/>
    <col min="2832" max="3072" width="9.1796875" style="677" hidden="1"/>
    <col min="3073" max="3073" width="3.54296875" style="677" hidden="1"/>
    <col min="3074" max="3074" width="12.54296875" style="677" hidden="1"/>
    <col min="3075" max="3075" width="17.1796875" style="677" hidden="1"/>
    <col min="3076" max="3076" width="3.54296875" style="677" hidden="1"/>
    <col min="3077" max="3080" width="7.54296875" style="677" hidden="1"/>
    <col min="3081" max="3081" width="3.54296875" style="677" hidden="1"/>
    <col min="3082" max="3085" width="7.54296875" style="677" hidden="1"/>
    <col min="3086" max="3087" width="3.54296875" style="677" hidden="1"/>
    <col min="3088" max="3328" width="9.1796875" style="677" hidden="1"/>
    <col min="3329" max="3329" width="3.54296875" style="677" hidden="1"/>
    <col min="3330" max="3330" width="12.54296875" style="677" hidden="1"/>
    <col min="3331" max="3331" width="17.1796875" style="677" hidden="1"/>
    <col min="3332" max="3332" width="3.54296875" style="677" hidden="1"/>
    <col min="3333" max="3336" width="7.54296875" style="677" hidden="1"/>
    <col min="3337" max="3337" width="3.54296875" style="677" hidden="1"/>
    <col min="3338" max="3341" width="7.54296875" style="677" hidden="1"/>
    <col min="3342" max="3343" width="3.54296875" style="677" hidden="1"/>
    <col min="3344" max="3584" width="9.1796875" style="677" hidden="1"/>
    <col min="3585" max="3585" width="3.54296875" style="677" hidden="1"/>
    <col min="3586" max="3586" width="12.54296875" style="677" hidden="1"/>
    <col min="3587" max="3587" width="17.1796875" style="677" hidden="1"/>
    <col min="3588" max="3588" width="3.54296875" style="677" hidden="1"/>
    <col min="3589" max="3592" width="7.54296875" style="677" hidden="1"/>
    <col min="3593" max="3593" width="3.54296875" style="677" hidden="1"/>
    <col min="3594" max="3597" width="7.54296875" style="677" hidden="1"/>
    <col min="3598" max="3599" width="3.54296875" style="677" hidden="1"/>
    <col min="3600" max="3840" width="9.1796875" style="677" hidden="1"/>
    <col min="3841" max="3841" width="3.54296875" style="677" hidden="1"/>
    <col min="3842" max="3842" width="12.54296875" style="677" hidden="1"/>
    <col min="3843" max="3843" width="17.1796875" style="677" hidden="1"/>
    <col min="3844" max="3844" width="3.54296875" style="677" hidden="1"/>
    <col min="3845" max="3848" width="7.54296875" style="677" hidden="1"/>
    <col min="3849" max="3849" width="3.54296875" style="677" hidden="1"/>
    <col min="3850" max="3853" width="7.54296875" style="677" hidden="1"/>
    <col min="3854" max="3855" width="3.54296875" style="677" hidden="1"/>
    <col min="3856" max="4096" width="9.1796875" style="677" hidden="1"/>
    <col min="4097" max="4097" width="3.54296875" style="677" hidden="1"/>
    <col min="4098" max="4098" width="12.54296875" style="677" hidden="1"/>
    <col min="4099" max="4099" width="17.1796875" style="677" hidden="1"/>
    <col min="4100" max="4100" width="3.54296875" style="677" hidden="1"/>
    <col min="4101" max="4104" width="7.54296875" style="677" hidden="1"/>
    <col min="4105" max="4105" width="3.54296875" style="677" hidden="1"/>
    <col min="4106" max="4109" width="7.54296875" style="677" hidden="1"/>
    <col min="4110" max="4111" width="3.54296875" style="677" hidden="1"/>
    <col min="4112" max="4352" width="9.1796875" style="677" hidden="1"/>
    <col min="4353" max="4353" width="3.54296875" style="677" hidden="1"/>
    <col min="4354" max="4354" width="12.54296875" style="677" hidden="1"/>
    <col min="4355" max="4355" width="17.1796875" style="677" hidden="1"/>
    <col min="4356" max="4356" width="3.54296875" style="677" hidden="1"/>
    <col min="4357" max="4360" width="7.54296875" style="677" hidden="1"/>
    <col min="4361" max="4361" width="3.54296875" style="677" hidden="1"/>
    <col min="4362" max="4365" width="7.54296875" style="677" hidden="1"/>
    <col min="4366" max="4367" width="3.54296875" style="677" hidden="1"/>
    <col min="4368" max="4608" width="9.1796875" style="677" hidden="1"/>
    <col min="4609" max="4609" width="3.54296875" style="677" hidden="1"/>
    <col min="4610" max="4610" width="12.54296875" style="677" hidden="1"/>
    <col min="4611" max="4611" width="17.1796875" style="677" hidden="1"/>
    <col min="4612" max="4612" width="3.54296875" style="677" hidden="1"/>
    <col min="4613" max="4616" width="7.54296875" style="677" hidden="1"/>
    <col min="4617" max="4617" width="3.54296875" style="677" hidden="1"/>
    <col min="4618" max="4621" width="7.54296875" style="677" hidden="1"/>
    <col min="4622" max="4623" width="3.54296875" style="677" hidden="1"/>
    <col min="4624" max="4864" width="9.1796875" style="677" hidden="1"/>
    <col min="4865" max="4865" width="3.54296875" style="677" hidden="1"/>
    <col min="4866" max="4866" width="12.54296875" style="677" hidden="1"/>
    <col min="4867" max="4867" width="17.1796875" style="677" hidden="1"/>
    <col min="4868" max="4868" width="3.54296875" style="677" hidden="1"/>
    <col min="4869" max="4872" width="7.54296875" style="677" hidden="1"/>
    <col min="4873" max="4873" width="3.54296875" style="677" hidden="1"/>
    <col min="4874" max="4877" width="7.54296875" style="677" hidden="1"/>
    <col min="4878" max="4879" width="3.54296875" style="677" hidden="1"/>
    <col min="4880" max="5120" width="9.1796875" style="677" hidden="1"/>
    <col min="5121" max="5121" width="3.54296875" style="677" hidden="1"/>
    <col min="5122" max="5122" width="12.54296875" style="677" hidden="1"/>
    <col min="5123" max="5123" width="17.1796875" style="677" hidden="1"/>
    <col min="5124" max="5124" width="3.54296875" style="677" hidden="1"/>
    <col min="5125" max="5128" width="7.54296875" style="677" hidden="1"/>
    <col min="5129" max="5129" width="3.54296875" style="677" hidden="1"/>
    <col min="5130" max="5133" width="7.54296875" style="677" hidden="1"/>
    <col min="5134" max="5135" width="3.54296875" style="677" hidden="1"/>
    <col min="5136" max="5376" width="9.1796875" style="677" hidden="1"/>
    <col min="5377" max="5377" width="3.54296875" style="677" hidden="1"/>
    <col min="5378" max="5378" width="12.54296875" style="677" hidden="1"/>
    <col min="5379" max="5379" width="17.1796875" style="677" hidden="1"/>
    <col min="5380" max="5380" width="3.54296875" style="677" hidden="1"/>
    <col min="5381" max="5384" width="7.54296875" style="677" hidden="1"/>
    <col min="5385" max="5385" width="3.54296875" style="677" hidden="1"/>
    <col min="5386" max="5389" width="7.54296875" style="677" hidden="1"/>
    <col min="5390" max="5391" width="3.54296875" style="677" hidden="1"/>
    <col min="5392" max="5632" width="9.1796875" style="677" hidden="1"/>
    <col min="5633" max="5633" width="3.54296875" style="677" hidden="1"/>
    <col min="5634" max="5634" width="12.54296875" style="677" hidden="1"/>
    <col min="5635" max="5635" width="17.1796875" style="677" hidden="1"/>
    <col min="5636" max="5636" width="3.54296875" style="677" hidden="1"/>
    <col min="5637" max="5640" width="7.54296875" style="677" hidden="1"/>
    <col min="5641" max="5641" width="3.54296875" style="677" hidden="1"/>
    <col min="5642" max="5645" width="7.54296875" style="677" hidden="1"/>
    <col min="5646" max="5647" width="3.54296875" style="677" hidden="1"/>
    <col min="5648" max="5888" width="9.1796875" style="677" hidden="1"/>
    <col min="5889" max="5889" width="3.54296875" style="677" hidden="1"/>
    <col min="5890" max="5890" width="12.54296875" style="677" hidden="1"/>
    <col min="5891" max="5891" width="17.1796875" style="677" hidden="1"/>
    <col min="5892" max="5892" width="3.54296875" style="677" hidden="1"/>
    <col min="5893" max="5896" width="7.54296875" style="677" hidden="1"/>
    <col min="5897" max="5897" width="3.54296875" style="677" hidden="1"/>
    <col min="5898" max="5901" width="7.54296875" style="677" hidden="1"/>
    <col min="5902" max="5903" width="3.54296875" style="677" hidden="1"/>
    <col min="5904" max="6144" width="9.1796875" style="677" hidden="1"/>
    <col min="6145" max="6145" width="3.54296875" style="677" hidden="1"/>
    <col min="6146" max="6146" width="12.54296875" style="677" hidden="1"/>
    <col min="6147" max="6147" width="17.1796875" style="677" hidden="1"/>
    <col min="6148" max="6148" width="3.54296875" style="677" hidden="1"/>
    <col min="6149" max="6152" width="7.54296875" style="677" hidden="1"/>
    <col min="6153" max="6153" width="3.54296875" style="677" hidden="1"/>
    <col min="6154" max="6157" width="7.54296875" style="677" hidden="1"/>
    <col min="6158" max="6159" width="3.54296875" style="677" hidden="1"/>
    <col min="6160" max="6400" width="9.1796875" style="677" hidden="1"/>
    <col min="6401" max="6401" width="3.54296875" style="677" hidden="1"/>
    <col min="6402" max="6402" width="12.54296875" style="677" hidden="1"/>
    <col min="6403" max="6403" width="17.1796875" style="677" hidden="1"/>
    <col min="6404" max="6404" width="3.54296875" style="677" hidden="1"/>
    <col min="6405" max="6408" width="7.54296875" style="677" hidden="1"/>
    <col min="6409" max="6409" width="3.54296875" style="677" hidden="1"/>
    <col min="6410" max="6413" width="7.54296875" style="677" hidden="1"/>
    <col min="6414" max="6415" width="3.54296875" style="677" hidden="1"/>
    <col min="6416" max="6656" width="9.1796875" style="677" hidden="1"/>
    <col min="6657" max="6657" width="3.54296875" style="677" hidden="1"/>
    <col min="6658" max="6658" width="12.54296875" style="677" hidden="1"/>
    <col min="6659" max="6659" width="17.1796875" style="677" hidden="1"/>
    <col min="6660" max="6660" width="3.54296875" style="677" hidden="1"/>
    <col min="6661" max="6664" width="7.54296875" style="677" hidden="1"/>
    <col min="6665" max="6665" width="3.54296875" style="677" hidden="1"/>
    <col min="6666" max="6669" width="7.54296875" style="677" hidden="1"/>
    <col min="6670" max="6671" width="3.54296875" style="677" hidden="1"/>
    <col min="6672" max="6912" width="9.1796875" style="677" hidden="1"/>
    <col min="6913" max="6913" width="3.54296875" style="677" hidden="1"/>
    <col min="6914" max="6914" width="12.54296875" style="677" hidden="1"/>
    <col min="6915" max="6915" width="17.1796875" style="677" hidden="1"/>
    <col min="6916" max="6916" width="3.54296875" style="677" hidden="1"/>
    <col min="6917" max="6920" width="7.54296875" style="677" hidden="1"/>
    <col min="6921" max="6921" width="3.54296875" style="677" hidden="1"/>
    <col min="6922" max="6925" width="7.54296875" style="677" hidden="1"/>
    <col min="6926" max="6927" width="3.54296875" style="677" hidden="1"/>
    <col min="6928" max="7168" width="9.1796875" style="677" hidden="1"/>
    <col min="7169" max="7169" width="3.54296875" style="677" hidden="1"/>
    <col min="7170" max="7170" width="12.54296875" style="677" hidden="1"/>
    <col min="7171" max="7171" width="17.1796875" style="677" hidden="1"/>
    <col min="7172" max="7172" width="3.54296875" style="677" hidden="1"/>
    <col min="7173" max="7176" width="7.54296875" style="677" hidden="1"/>
    <col min="7177" max="7177" width="3.54296875" style="677" hidden="1"/>
    <col min="7178" max="7181" width="7.54296875" style="677" hidden="1"/>
    <col min="7182" max="7183" width="3.54296875" style="677" hidden="1"/>
    <col min="7184" max="7424" width="9.1796875" style="677" hidden="1"/>
    <col min="7425" max="7425" width="3.54296875" style="677" hidden="1"/>
    <col min="7426" max="7426" width="12.54296875" style="677" hidden="1"/>
    <col min="7427" max="7427" width="17.1796875" style="677" hidden="1"/>
    <col min="7428" max="7428" width="3.54296875" style="677" hidden="1"/>
    <col min="7429" max="7432" width="7.54296875" style="677" hidden="1"/>
    <col min="7433" max="7433" width="3.54296875" style="677" hidden="1"/>
    <col min="7434" max="7437" width="7.54296875" style="677" hidden="1"/>
    <col min="7438" max="7439" width="3.54296875" style="677" hidden="1"/>
    <col min="7440" max="7680" width="9.1796875" style="677" hidden="1"/>
    <col min="7681" max="7681" width="3.54296875" style="677" hidden="1"/>
    <col min="7682" max="7682" width="12.54296875" style="677" hidden="1"/>
    <col min="7683" max="7683" width="17.1796875" style="677" hidden="1"/>
    <col min="7684" max="7684" width="3.54296875" style="677" hidden="1"/>
    <col min="7685" max="7688" width="7.54296875" style="677" hidden="1"/>
    <col min="7689" max="7689" width="3.54296875" style="677" hidden="1"/>
    <col min="7690" max="7693" width="7.54296875" style="677" hidden="1"/>
    <col min="7694" max="7695" width="3.54296875" style="677" hidden="1"/>
    <col min="7696" max="7936" width="9.1796875" style="677" hidden="1"/>
    <col min="7937" max="7937" width="3.54296875" style="677" hidden="1"/>
    <col min="7938" max="7938" width="12.54296875" style="677" hidden="1"/>
    <col min="7939" max="7939" width="17.1796875" style="677" hidden="1"/>
    <col min="7940" max="7940" width="3.54296875" style="677" hidden="1"/>
    <col min="7941" max="7944" width="7.54296875" style="677" hidden="1"/>
    <col min="7945" max="7945" width="3.54296875" style="677" hidden="1"/>
    <col min="7946" max="7949" width="7.54296875" style="677" hidden="1"/>
    <col min="7950" max="7951" width="3.54296875" style="677" hidden="1"/>
    <col min="7952" max="8192" width="9.1796875" style="677" hidden="1"/>
    <col min="8193" max="8193" width="3.54296875" style="677" hidden="1"/>
    <col min="8194" max="8194" width="12.54296875" style="677" hidden="1"/>
    <col min="8195" max="8195" width="17.1796875" style="677" hidden="1"/>
    <col min="8196" max="8196" width="3.54296875" style="677" hidden="1"/>
    <col min="8197" max="8200" width="7.54296875" style="677" hidden="1"/>
    <col min="8201" max="8201" width="3.54296875" style="677" hidden="1"/>
    <col min="8202" max="8205" width="7.54296875" style="677" hidden="1"/>
    <col min="8206" max="8207" width="3.54296875" style="677" hidden="1"/>
    <col min="8208" max="8448" width="9.1796875" style="677" hidden="1"/>
    <col min="8449" max="8449" width="3.54296875" style="677" hidden="1"/>
    <col min="8450" max="8450" width="12.54296875" style="677" hidden="1"/>
    <col min="8451" max="8451" width="17.1796875" style="677" hidden="1"/>
    <col min="8452" max="8452" width="3.54296875" style="677" hidden="1"/>
    <col min="8453" max="8456" width="7.54296875" style="677" hidden="1"/>
    <col min="8457" max="8457" width="3.54296875" style="677" hidden="1"/>
    <col min="8458" max="8461" width="7.54296875" style="677" hidden="1"/>
    <col min="8462" max="8463" width="3.54296875" style="677" hidden="1"/>
    <col min="8464" max="8704" width="9.1796875" style="677" hidden="1"/>
    <col min="8705" max="8705" width="3.54296875" style="677" hidden="1"/>
    <col min="8706" max="8706" width="12.54296875" style="677" hidden="1"/>
    <col min="8707" max="8707" width="17.1796875" style="677" hidden="1"/>
    <col min="8708" max="8708" width="3.54296875" style="677" hidden="1"/>
    <col min="8709" max="8712" width="7.54296875" style="677" hidden="1"/>
    <col min="8713" max="8713" width="3.54296875" style="677" hidden="1"/>
    <col min="8714" max="8717" width="7.54296875" style="677" hidden="1"/>
    <col min="8718" max="8719" width="3.54296875" style="677" hidden="1"/>
    <col min="8720" max="8960" width="9.1796875" style="677" hidden="1"/>
    <col min="8961" max="8961" width="3.54296875" style="677" hidden="1"/>
    <col min="8962" max="8962" width="12.54296875" style="677" hidden="1"/>
    <col min="8963" max="8963" width="17.1796875" style="677" hidden="1"/>
    <col min="8964" max="8964" width="3.54296875" style="677" hidden="1"/>
    <col min="8965" max="8968" width="7.54296875" style="677" hidden="1"/>
    <col min="8969" max="8969" width="3.54296875" style="677" hidden="1"/>
    <col min="8970" max="8973" width="7.54296875" style="677" hidden="1"/>
    <col min="8974" max="8975" width="3.54296875" style="677" hidden="1"/>
    <col min="8976" max="9216" width="9.1796875" style="677" hidden="1"/>
    <col min="9217" max="9217" width="3.54296875" style="677" hidden="1"/>
    <col min="9218" max="9218" width="12.54296875" style="677" hidden="1"/>
    <col min="9219" max="9219" width="17.1796875" style="677" hidden="1"/>
    <col min="9220" max="9220" width="3.54296875" style="677" hidden="1"/>
    <col min="9221" max="9224" width="7.54296875" style="677" hidden="1"/>
    <col min="9225" max="9225" width="3.54296875" style="677" hidden="1"/>
    <col min="9226" max="9229" width="7.54296875" style="677" hidden="1"/>
    <col min="9230" max="9231" width="3.54296875" style="677" hidden="1"/>
    <col min="9232" max="9472" width="9.1796875" style="677" hidden="1"/>
    <col min="9473" max="9473" width="3.54296875" style="677" hidden="1"/>
    <col min="9474" max="9474" width="12.54296875" style="677" hidden="1"/>
    <col min="9475" max="9475" width="17.1796875" style="677" hidden="1"/>
    <col min="9476" max="9476" width="3.54296875" style="677" hidden="1"/>
    <col min="9477" max="9480" width="7.54296875" style="677" hidden="1"/>
    <col min="9481" max="9481" width="3.54296875" style="677" hidden="1"/>
    <col min="9482" max="9485" width="7.54296875" style="677" hidden="1"/>
    <col min="9486" max="9487" width="3.54296875" style="677" hidden="1"/>
    <col min="9488" max="9728" width="9.1796875" style="677" hidden="1"/>
    <col min="9729" max="9729" width="3.54296875" style="677" hidden="1"/>
    <col min="9730" max="9730" width="12.54296875" style="677" hidden="1"/>
    <col min="9731" max="9731" width="17.1796875" style="677" hidden="1"/>
    <col min="9732" max="9732" width="3.54296875" style="677" hidden="1"/>
    <col min="9733" max="9736" width="7.54296875" style="677" hidden="1"/>
    <col min="9737" max="9737" width="3.54296875" style="677" hidden="1"/>
    <col min="9738" max="9741" width="7.54296875" style="677" hidden="1"/>
    <col min="9742" max="9743" width="3.54296875" style="677" hidden="1"/>
    <col min="9744" max="9984" width="9.1796875" style="677" hidden="1"/>
    <col min="9985" max="9985" width="3.54296875" style="677" hidden="1"/>
    <col min="9986" max="9986" width="12.54296875" style="677" hidden="1"/>
    <col min="9987" max="9987" width="17.1796875" style="677" hidden="1"/>
    <col min="9988" max="9988" width="3.54296875" style="677" hidden="1"/>
    <col min="9989" max="9992" width="7.54296875" style="677" hidden="1"/>
    <col min="9993" max="9993" width="3.54296875" style="677" hidden="1"/>
    <col min="9994" max="9997" width="7.54296875" style="677" hidden="1"/>
    <col min="9998" max="9999" width="3.54296875" style="677" hidden="1"/>
    <col min="10000" max="10240" width="9.1796875" style="677" hidden="1"/>
    <col min="10241" max="10241" width="3.54296875" style="677" hidden="1"/>
    <col min="10242" max="10242" width="12.54296875" style="677" hidden="1"/>
    <col min="10243" max="10243" width="17.1796875" style="677" hidden="1"/>
    <col min="10244" max="10244" width="3.54296875" style="677" hidden="1"/>
    <col min="10245" max="10248" width="7.54296875" style="677" hidden="1"/>
    <col min="10249" max="10249" width="3.54296875" style="677" hidden="1"/>
    <col min="10250" max="10253" width="7.54296875" style="677" hidden="1"/>
    <col min="10254" max="10255" width="3.54296875" style="677" hidden="1"/>
    <col min="10256" max="10496" width="9.1796875" style="677" hidden="1"/>
    <col min="10497" max="10497" width="3.54296875" style="677" hidden="1"/>
    <col min="10498" max="10498" width="12.54296875" style="677" hidden="1"/>
    <col min="10499" max="10499" width="17.1796875" style="677" hidden="1"/>
    <col min="10500" max="10500" width="3.54296875" style="677" hidden="1"/>
    <col min="10501" max="10504" width="7.54296875" style="677" hidden="1"/>
    <col min="10505" max="10505" width="3.54296875" style="677" hidden="1"/>
    <col min="10506" max="10509" width="7.54296875" style="677" hidden="1"/>
    <col min="10510" max="10511" width="3.54296875" style="677" hidden="1"/>
    <col min="10512" max="10752" width="9.1796875" style="677" hidden="1"/>
    <col min="10753" max="10753" width="3.54296875" style="677" hidden="1"/>
    <col min="10754" max="10754" width="12.54296875" style="677" hidden="1"/>
    <col min="10755" max="10755" width="17.1796875" style="677" hidden="1"/>
    <col min="10756" max="10756" width="3.54296875" style="677" hidden="1"/>
    <col min="10757" max="10760" width="7.54296875" style="677" hidden="1"/>
    <col min="10761" max="10761" width="3.54296875" style="677" hidden="1"/>
    <col min="10762" max="10765" width="7.54296875" style="677" hidden="1"/>
    <col min="10766" max="10767" width="3.54296875" style="677" hidden="1"/>
    <col min="10768" max="11008" width="9.1796875" style="677" hidden="1"/>
    <col min="11009" max="11009" width="3.54296875" style="677" hidden="1"/>
    <col min="11010" max="11010" width="12.54296875" style="677" hidden="1"/>
    <col min="11011" max="11011" width="17.1796875" style="677" hidden="1"/>
    <col min="11012" max="11012" width="3.54296875" style="677" hidden="1"/>
    <col min="11013" max="11016" width="7.54296875" style="677" hidden="1"/>
    <col min="11017" max="11017" width="3.54296875" style="677" hidden="1"/>
    <col min="11018" max="11021" width="7.54296875" style="677" hidden="1"/>
    <col min="11022" max="11023" width="3.54296875" style="677" hidden="1"/>
    <col min="11024" max="11264" width="9.1796875" style="677" hidden="1"/>
    <col min="11265" max="11265" width="3.54296875" style="677" hidden="1"/>
    <col min="11266" max="11266" width="12.54296875" style="677" hidden="1"/>
    <col min="11267" max="11267" width="17.1796875" style="677" hidden="1"/>
    <col min="11268" max="11268" width="3.54296875" style="677" hidden="1"/>
    <col min="11269" max="11272" width="7.54296875" style="677" hidden="1"/>
    <col min="11273" max="11273" width="3.54296875" style="677" hidden="1"/>
    <col min="11274" max="11277" width="7.54296875" style="677" hidden="1"/>
    <col min="11278" max="11279" width="3.54296875" style="677" hidden="1"/>
    <col min="11280" max="11520" width="9.1796875" style="677" hidden="1"/>
    <col min="11521" max="11521" width="3.54296875" style="677" hidden="1"/>
    <col min="11522" max="11522" width="12.54296875" style="677" hidden="1"/>
    <col min="11523" max="11523" width="17.1796875" style="677" hidden="1"/>
    <col min="11524" max="11524" width="3.54296875" style="677" hidden="1"/>
    <col min="11525" max="11528" width="7.54296875" style="677" hidden="1"/>
    <col min="11529" max="11529" width="3.54296875" style="677" hidden="1"/>
    <col min="11530" max="11533" width="7.54296875" style="677" hidden="1"/>
    <col min="11534" max="11535" width="3.54296875" style="677" hidden="1"/>
    <col min="11536" max="11776" width="9.1796875" style="677" hidden="1"/>
    <col min="11777" max="11777" width="3.54296875" style="677" hidden="1"/>
    <col min="11778" max="11778" width="12.54296875" style="677" hidden="1"/>
    <col min="11779" max="11779" width="17.1796875" style="677" hidden="1"/>
    <col min="11780" max="11780" width="3.54296875" style="677" hidden="1"/>
    <col min="11781" max="11784" width="7.54296875" style="677" hidden="1"/>
    <col min="11785" max="11785" width="3.54296875" style="677" hidden="1"/>
    <col min="11786" max="11789" width="7.54296875" style="677" hidden="1"/>
    <col min="11790" max="11791" width="3.54296875" style="677" hidden="1"/>
    <col min="11792" max="12032" width="9.1796875" style="677" hidden="1"/>
    <col min="12033" max="12033" width="3.54296875" style="677" hidden="1"/>
    <col min="12034" max="12034" width="12.54296875" style="677" hidden="1"/>
    <col min="12035" max="12035" width="17.1796875" style="677" hidden="1"/>
    <col min="12036" max="12036" width="3.54296875" style="677" hidden="1"/>
    <col min="12037" max="12040" width="7.54296875" style="677" hidden="1"/>
    <col min="12041" max="12041" width="3.54296875" style="677" hidden="1"/>
    <col min="12042" max="12045" width="7.54296875" style="677" hidden="1"/>
    <col min="12046" max="12047" width="3.54296875" style="677" hidden="1"/>
    <col min="12048" max="12288" width="9.1796875" style="677" hidden="1"/>
    <col min="12289" max="12289" width="3.54296875" style="677" hidden="1"/>
    <col min="12290" max="12290" width="12.54296875" style="677" hidden="1"/>
    <col min="12291" max="12291" width="17.1796875" style="677" hidden="1"/>
    <col min="12292" max="12292" width="3.54296875" style="677" hidden="1"/>
    <col min="12293" max="12296" width="7.54296875" style="677" hidden="1"/>
    <col min="12297" max="12297" width="3.54296875" style="677" hidden="1"/>
    <col min="12298" max="12301" width="7.54296875" style="677" hidden="1"/>
    <col min="12302" max="12303" width="3.54296875" style="677" hidden="1"/>
    <col min="12304" max="12544" width="9.1796875" style="677" hidden="1"/>
    <col min="12545" max="12545" width="3.54296875" style="677" hidden="1"/>
    <col min="12546" max="12546" width="12.54296875" style="677" hidden="1"/>
    <col min="12547" max="12547" width="17.1796875" style="677" hidden="1"/>
    <col min="12548" max="12548" width="3.54296875" style="677" hidden="1"/>
    <col min="12549" max="12552" width="7.54296875" style="677" hidden="1"/>
    <col min="12553" max="12553" width="3.54296875" style="677" hidden="1"/>
    <col min="12554" max="12557" width="7.54296875" style="677" hidden="1"/>
    <col min="12558" max="12559" width="3.54296875" style="677" hidden="1"/>
    <col min="12560" max="12800" width="9.1796875" style="677" hidden="1"/>
    <col min="12801" max="12801" width="3.54296875" style="677" hidden="1"/>
    <col min="12802" max="12802" width="12.54296875" style="677" hidden="1"/>
    <col min="12803" max="12803" width="17.1796875" style="677" hidden="1"/>
    <col min="12804" max="12804" width="3.54296875" style="677" hidden="1"/>
    <col min="12805" max="12808" width="7.54296875" style="677" hidden="1"/>
    <col min="12809" max="12809" width="3.54296875" style="677" hidden="1"/>
    <col min="12810" max="12813" width="7.54296875" style="677" hidden="1"/>
    <col min="12814" max="12815" width="3.54296875" style="677" hidden="1"/>
    <col min="12816" max="13056" width="9.1796875" style="677" hidden="1"/>
    <col min="13057" max="13057" width="3.54296875" style="677" hidden="1"/>
    <col min="13058" max="13058" width="12.54296875" style="677" hidden="1"/>
    <col min="13059" max="13059" width="17.1796875" style="677" hidden="1"/>
    <col min="13060" max="13060" width="3.54296875" style="677" hidden="1"/>
    <col min="13061" max="13064" width="7.54296875" style="677" hidden="1"/>
    <col min="13065" max="13065" width="3.54296875" style="677" hidden="1"/>
    <col min="13066" max="13069" width="7.54296875" style="677" hidden="1"/>
    <col min="13070" max="13071" width="3.54296875" style="677" hidden="1"/>
    <col min="13072" max="13312" width="9.1796875" style="677" hidden="1"/>
    <col min="13313" max="13313" width="3.54296875" style="677" hidden="1"/>
    <col min="13314" max="13314" width="12.54296875" style="677" hidden="1"/>
    <col min="13315" max="13315" width="17.1796875" style="677" hidden="1"/>
    <col min="13316" max="13316" width="3.54296875" style="677" hidden="1"/>
    <col min="13317" max="13320" width="7.54296875" style="677" hidden="1"/>
    <col min="13321" max="13321" width="3.54296875" style="677" hidden="1"/>
    <col min="13322" max="13325" width="7.54296875" style="677" hidden="1"/>
    <col min="13326" max="13327" width="3.54296875" style="677" hidden="1"/>
    <col min="13328" max="13568" width="9.1796875" style="677" hidden="1"/>
    <col min="13569" max="13569" width="3.54296875" style="677" hidden="1"/>
    <col min="13570" max="13570" width="12.54296875" style="677" hidden="1"/>
    <col min="13571" max="13571" width="17.1796875" style="677" hidden="1"/>
    <col min="13572" max="13572" width="3.54296875" style="677" hidden="1"/>
    <col min="13573" max="13576" width="7.54296875" style="677" hidden="1"/>
    <col min="13577" max="13577" width="3.54296875" style="677" hidden="1"/>
    <col min="13578" max="13581" width="7.54296875" style="677" hidden="1"/>
    <col min="13582" max="13583" width="3.54296875" style="677" hidden="1"/>
    <col min="13584" max="13824" width="9.1796875" style="677" hidden="1"/>
    <col min="13825" max="13825" width="3.54296875" style="677" hidden="1"/>
    <col min="13826" max="13826" width="12.54296875" style="677" hidden="1"/>
    <col min="13827" max="13827" width="17.1796875" style="677" hidden="1"/>
    <col min="13828" max="13828" width="3.54296875" style="677" hidden="1"/>
    <col min="13829" max="13832" width="7.54296875" style="677" hidden="1"/>
    <col min="13833" max="13833" width="3.54296875" style="677" hidden="1"/>
    <col min="13834" max="13837" width="7.54296875" style="677" hidden="1"/>
    <col min="13838" max="13839" width="3.54296875" style="677" hidden="1"/>
    <col min="13840" max="14080" width="9.1796875" style="677" hidden="1"/>
    <col min="14081" max="14081" width="3.54296875" style="677" hidden="1"/>
    <col min="14082" max="14082" width="12.54296875" style="677" hidden="1"/>
    <col min="14083" max="14083" width="17.1796875" style="677" hidden="1"/>
    <col min="14084" max="14084" width="3.54296875" style="677" hidden="1"/>
    <col min="14085" max="14088" width="7.54296875" style="677" hidden="1"/>
    <col min="14089" max="14089" width="3.54296875" style="677" hidden="1"/>
    <col min="14090" max="14093" width="7.54296875" style="677" hidden="1"/>
    <col min="14094" max="14095" width="3.54296875" style="677" hidden="1"/>
    <col min="14096" max="14336" width="9.1796875" style="677" hidden="1"/>
    <col min="14337" max="14337" width="3.54296875" style="677" hidden="1"/>
    <col min="14338" max="14338" width="12.54296875" style="677" hidden="1"/>
    <col min="14339" max="14339" width="17.1796875" style="677" hidden="1"/>
    <col min="14340" max="14340" width="3.54296875" style="677" hidden="1"/>
    <col min="14341" max="14344" width="7.54296875" style="677" hidden="1"/>
    <col min="14345" max="14345" width="3.54296875" style="677" hidden="1"/>
    <col min="14346" max="14349" width="7.54296875" style="677" hidden="1"/>
    <col min="14350" max="14351" width="3.54296875" style="677" hidden="1"/>
    <col min="14352" max="14592" width="9.1796875" style="677" hidden="1"/>
    <col min="14593" max="14593" width="3.54296875" style="677" hidden="1"/>
    <col min="14594" max="14594" width="12.54296875" style="677" hidden="1"/>
    <col min="14595" max="14595" width="17.1796875" style="677" hidden="1"/>
    <col min="14596" max="14596" width="3.54296875" style="677" hidden="1"/>
    <col min="14597" max="14600" width="7.54296875" style="677" hidden="1"/>
    <col min="14601" max="14601" width="3.54296875" style="677" hidden="1"/>
    <col min="14602" max="14605" width="7.54296875" style="677" hidden="1"/>
    <col min="14606" max="14607" width="3.54296875" style="677" hidden="1"/>
    <col min="14608" max="14848" width="9.1796875" style="677" hidden="1"/>
    <col min="14849" max="14849" width="3.54296875" style="677" hidden="1"/>
    <col min="14850" max="14850" width="12.54296875" style="677" hidden="1"/>
    <col min="14851" max="14851" width="17.1796875" style="677" hidden="1"/>
    <col min="14852" max="14852" width="3.54296875" style="677" hidden="1"/>
    <col min="14853" max="14856" width="7.54296875" style="677" hidden="1"/>
    <col min="14857" max="14857" width="3.54296875" style="677" hidden="1"/>
    <col min="14858" max="14861" width="7.54296875" style="677" hidden="1"/>
    <col min="14862" max="14863" width="3.54296875" style="677" hidden="1"/>
    <col min="14864" max="15104" width="9.1796875" style="677" hidden="1"/>
    <col min="15105" max="15105" width="3.54296875" style="677" hidden="1"/>
    <col min="15106" max="15106" width="12.54296875" style="677" hidden="1"/>
    <col min="15107" max="15107" width="17.1796875" style="677" hidden="1"/>
    <col min="15108" max="15108" width="3.54296875" style="677" hidden="1"/>
    <col min="15109" max="15112" width="7.54296875" style="677" hidden="1"/>
    <col min="15113" max="15113" width="3.54296875" style="677" hidden="1"/>
    <col min="15114" max="15117" width="7.54296875" style="677" hidden="1"/>
    <col min="15118" max="15119" width="3.54296875" style="677" hidden="1"/>
    <col min="15120" max="15360" width="9.1796875" style="677" hidden="1"/>
    <col min="15361" max="15361" width="3.54296875" style="677" hidden="1"/>
    <col min="15362" max="15362" width="12.54296875" style="677" hidden="1"/>
    <col min="15363" max="15363" width="17.1796875" style="677" hidden="1"/>
    <col min="15364" max="15364" width="3.54296875" style="677" hidden="1"/>
    <col min="15365" max="15368" width="7.54296875" style="677" hidden="1"/>
    <col min="15369" max="15369" width="3.54296875" style="677" hidden="1"/>
    <col min="15370" max="15373" width="7.54296875" style="677" hidden="1"/>
    <col min="15374" max="15375" width="3.54296875" style="677" hidden="1"/>
    <col min="15376" max="15616" width="9.1796875" style="677" hidden="1"/>
    <col min="15617" max="15617" width="3.54296875" style="677" hidden="1"/>
    <col min="15618" max="15618" width="12.54296875" style="677" hidden="1"/>
    <col min="15619" max="15619" width="17.1796875" style="677" hidden="1"/>
    <col min="15620" max="15620" width="3.54296875" style="677" hidden="1"/>
    <col min="15621" max="15624" width="7.54296875" style="677" hidden="1"/>
    <col min="15625" max="15625" width="3.54296875" style="677" hidden="1"/>
    <col min="15626" max="15629" width="7.54296875" style="677" hidden="1"/>
    <col min="15630" max="15631" width="3.54296875" style="677" hidden="1"/>
    <col min="15632" max="15872" width="9.1796875" style="677" hidden="1"/>
    <col min="15873" max="15873" width="3.54296875" style="677" hidden="1"/>
    <col min="15874" max="15874" width="12.54296875" style="677" hidden="1"/>
    <col min="15875" max="15875" width="17.1796875" style="677" hidden="1"/>
    <col min="15876" max="15876" width="3.54296875" style="677" hidden="1"/>
    <col min="15877" max="15880" width="7.54296875" style="677" hidden="1"/>
    <col min="15881" max="15881" width="3.54296875" style="677" hidden="1"/>
    <col min="15882" max="15885" width="7.54296875" style="677" hidden="1"/>
    <col min="15886" max="15887" width="3.54296875" style="677" hidden="1"/>
    <col min="15888" max="16128" width="9.1796875" style="677" hidden="1"/>
    <col min="16129" max="16129" width="3.54296875" style="677" hidden="1"/>
    <col min="16130" max="16130" width="12.54296875" style="677" hidden="1"/>
    <col min="16131" max="16131" width="17.1796875" style="677" hidden="1"/>
    <col min="16132" max="16132" width="3.54296875" style="677" hidden="1"/>
    <col min="16133" max="16136" width="7.54296875" style="677" hidden="1"/>
    <col min="16137" max="16137" width="3.54296875" style="677" hidden="1"/>
    <col min="16138" max="16141" width="7.54296875" style="677" hidden="1"/>
    <col min="16142" max="16143" width="3.54296875" style="677" hidden="1"/>
    <col min="16144" max="16384" width="9.1796875" style="677" hidden="1"/>
  </cols>
  <sheetData>
    <row r="1" spans="1:22" ht="12.5" x14ac:dyDescent="0.25">
      <c r="F1" s="682"/>
      <c r="H1" s="755">
        <f ca="1">TODAY()</f>
        <v>44932</v>
      </c>
      <c r="I1" s="755"/>
      <c r="J1" s="755"/>
      <c r="K1" s="755"/>
      <c r="L1" s="755"/>
      <c r="M1" s="755"/>
      <c r="N1" s="755"/>
      <c r="O1" s="755"/>
      <c r="P1" s="755"/>
    </row>
    <row r="2" spans="1:22" ht="12.5" x14ac:dyDescent="0.25">
      <c r="U2" s="677" t="s">
        <v>321</v>
      </c>
      <c r="V2" s="677" t="s">
        <v>292</v>
      </c>
    </row>
    <row r="3" spans="1:22" s="684" customFormat="1" ht="14" x14ac:dyDescent="0.3">
      <c r="A3" s="677"/>
      <c r="B3" s="677"/>
      <c r="C3" s="677"/>
      <c r="E3" s="754" t="s">
        <v>322</v>
      </c>
      <c r="F3" s="754"/>
      <c r="G3" s="754"/>
      <c r="H3" s="754"/>
      <c r="I3" s="754"/>
      <c r="J3" s="754"/>
      <c r="K3" s="754"/>
      <c r="L3" s="754"/>
      <c r="M3" s="754"/>
      <c r="N3" s="754"/>
      <c r="O3" s="754"/>
      <c r="P3" s="754"/>
      <c r="T3" s="684" t="s">
        <v>396</v>
      </c>
      <c r="U3" s="722">
        <v>0.35</v>
      </c>
      <c r="V3" s="722">
        <v>0.05</v>
      </c>
    </row>
    <row r="4" spans="1:22" ht="12.5" x14ac:dyDescent="0.25"/>
    <row r="5" spans="1:22" ht="5.25" customHeight="1" x14ac:dyDescent="0.25"/>
    <row r="6" spans="1:22" ht="12.5" x14ac:dyDescent="0.25">
      <c r="B6" s="677" t="str">
        <f>IF(COTIZADOR!D18="HOMBRE","Estimado Señor: "&amp;COTIZADOR!C10&amp;".","Estimada Señora: "&amp;COTIZADOR!C10&amp;".")</f>
        <v>Estimado Señor: JUANA PÉREZ.</v>
      </c>
    </row>
    <row r="7" spans="1:22" ht="12.5" x14ac:dyDescent="0.25">
      <c r="B7" s="677" t="s">
        <v>329</v>
      </c>
    </row>
    <row r="8" spans="1:22" ht="5.25" customHeight="1" x14ac:dyDescent="0.25"/>
    <row r="9" spans="1:22" ht="25.5" customHeight="1" x14ac:dyDescent="0.3">
      <c r="B9" s="687"/>
      <c r="C9" s="756" t="s">
        <v>335</v>
      </c>
      <c r="D9" s="756"/>
      <c r="E9" s="756"/>
      <c r="F9" s="756"/>
      <c r="G9" s="756"/>
      <c r="H9" s="756"/>
      <c r="I9" s="756" t="s">
        <v>336</v>
      </c>
      <c r="J9" s="756"/>
      <c r="K9" s="756"/>
      <c r="L9" s="692" t="s">
        <v>270</v>
      </c>
      <c r="M9" s="756" t="s">
        <v>337</v>
      </c>
      <c r="N9" s="756"/>
      <c r="O9" s="756" t="s">
        <v>338</v>
      </c>
      <c r="P9" s="756"/>
    </row>
    <row r="10" spans="1:22" ht="12.75" customHeight="1" x14ac:dyDescent="0.3">
      <c r="B10" s="691" t="s">
        <v>330</v>
      </c>
      <c r="C10" s="737" t="str">
        <f>COTIZADOR!C10</f>
        <v>JUANA PÉREZ</v>
      </c>
      <c r="D10" s="737"/>
      <c r="E10" s="737"/>
      <c r="F10" s="737"/>
      <c r="G10" s="737"/>
      <c r="H10" s="737"/>
      <c r="I10" s="759">
        <f>COTIZADOR!D14</f>
        <v>23793</v>
      </c>
      <c r="J10" s="759"/>
      <c r="K10" s="759"/>
      <c r="L10" s="677">
        <f ca="1">COTIZADOR!D16</f>
        <v>57</v>
      </c>
      <c r="M10" s="758" t="str">
        <f>COTIZADOR!D18</f>
        <v>HOMBRE</v>
      </c>
      <c r="N10" s="758"/>
      <c r="O10" s="760">
        <f>COTIZADOR!D40</f>
        <v>2</v>
      </c>
      <c r="P10" s="760"/>
    </row>
    <row r="11" spans="1:22" ht="13" x14ac:dyDescent="0.3">
      <c r="B11" s="691" t="s">
        <v>331</v>
      </c>
      <c r="C11" s="737" t="str">
        <f>IF(COTIZADOR!D30="NO","",COTIZADOR!C32)</f>
        <v>JUAN PEREZ</v>
      </c>
      <c r="D11" s="737"/>
      <c r="E11" s="737"/>
      <c r="F11" s="737"/>
      <c r="G11" s="737"/>
      <c r="H11" s="737"/>
      <c r="I11" s="759">
        <f>IF(COTIZADOR!D30="NO","",COTIZADOR!D34)</f>
        <v>31124</v>
      </c>
      <c r="J11" s="759"/>
      <c r="K11" s="759"/>
      <c r="L11" s="694">
        <f ca="1">IF(COTIZADOR!D30="NO","",COTIZADOR!D36)</f>
        <v>37</v>
      </c>
      <c r="M11" s="759" t="str">
        <f>IF(COTIZADOR!D30="NO","",COTIZADOR!D38)</f>
        <v>MUJER</v>
      </c>
      <c r="N11" s="759"/>
      <c r="O11" s="696"/>
      <c r="P11" s="696"/>
    </row>
    <row r="12" spans="1:22" ht="5.25" customHeight="1" x14ac:dyDescent="0.25">
      <c r="N12" s="683"/>
    </row>
    <row r="13" spans="1:22" ht="13" x14ac:dyDescent="0.3">
      <c r="B13" s="750" t="s">
        <v>339</v>
      </c>
      <c r="C13" s="750"/>
      <c r="D13" s="750"/>
      <c r="E13" s="750"/>
      <c r="F13" s="750"/>
      <c r="G13" s="750"/>
      <c r="H13" s="750"/>
      <c r="I13" s="750"/>
      <c r="J13" s="750"/>
      <c r="K13" s="750"/>
      <c r="L13" s="750"/>
      <c r="M13" s="750"/>
      <c r="N13" s="750"/>
      <c r="O13" s="750"/>
      <c r="P13" s="750"/>
    </row>
    <row r="14" spans="1:22" ht="13" x14ac:dyDescent="0.3">
      <c r="B14" s="761" t="s">
        <v>340</v>
      </c>
      <c r="C14" s="761"/>
      <c r="D14" s="761"/>
      <c r="E14" s="761"/>
      <c r="F14" s="761"/>
      <c r="G14" s="761"/>
      <c r="H14" s="750" t="str">
        <f>IF(COTIZADOR!D12&lt;COTIZADOR!O4,"","PLAN A")</f>
        <v/>
      </c>
      <c r="I14" s="750"/>
      <c r="J14" s="750"/>
      <c r="K14" s="750" t="str">
        <f>IF(COTIZADOR!D12&lt;COTIZADOR!O4,"PLAN A","PLAN B")</f>
        <v>PLAN A</v>
      </c>
      <c r="L14" s="750"/>
      <c r="M14" s="750"/>
      <c r="N14" s="750" t="str">
        <f>IF(COTIZADOR!D12&lt;COTIZADOR!O4,"PLAN B","PLAN C")</f>
        <v>PLAN B</v>
      </c>
      <c r="O14" s="750"/>
      <c r="P14" s="750"/>
    </row>
    <row r="15" spans="1:22" ht="13" x14ac:dyDescent="0.3">
      <c r="B15" s="745" t="s">
        <v>344</v>
      </c>
      <c r="C15" s="745"/>
      <c r="D15" s="745"/>
      <c r="E15" s="745"/>
      <c r="F15" s="745"/>
      <c r="G15" s="745"/>
      <c r="H15" s="744" t="str">
        <f>'Titu A'!D24</f>
        <v/>
      </c>
      <c r="I15" s="744"/>
      <c r="J15" s="744"/>
      <c r="K15" s="744">
        <f>'Titu B'!D24</f>
        <v>50000</v>
      </c>
      <c r="L15" s="744"/>
      <c r="M15" s="744"/>
      <c r="N15" s="744">
        <f>'Titu C'!D24</f>
        <v>100000</v>
      </c>
      <c r="O15" s="744"/>
      <c r="P15" s="744"/>
    </row>
    <row r="16" spans="1:22" ht="15" customHeight="1" x14ac:dyDescent="0.3">
      <c r="B16" s="745" t="s">
        <v>346</v>
      </c>
      <c r="C16" s="745"/>
      <c r="D16" s="745"/>
      <c r="E16" s="745"/>
      <c r="F16" s="745"/>
      <c r="G16" s="745"/>
      <c r="H16" s="744" t="str">
        <f>IFERROR(IF(COTIZADOR!D11&lt;=COTIZADOR!O3,HLOOKUP($H$15,Condiciones!$B$2:$F$24,R16,FALSE),""),"")</f>
        <v/>
      </c>
      <c r="I16" s="744"/>
      <c r="J16" s="744"/>
      <c r="K16" s="744" t="str">
        <f>HLOOKUP($K$15,Condiciones!$B$2:$F$24,R16,FALSE)</f>
        <v>CA</v>
      </c>
      <c r="L16" s="744"/>
      <c r="M16" s="744"/>
      <c r="N16" s="744" t="str">
        <f>HLOOKUP($N$15,Condiciones!$B$2:$F$24,R16,FALSE)</f>
        <v>CA</v>
      </c>
      <c r="O16" s="744"/>
      <c r="P16" s="744"/>
      <c r="R16" s="677">
        <v>2</v>
      </c>
    </row>
    <row r="17" spans="1:27" ht="15" customHeight="1" x14ac:dyDescent="0.3">
      <c r="B17" s="757" t="s">
        <v>347</v>
      </c>
      <c r="C17" s="757"/>
      <c r="D17" s="757"/>
      <c r="E17" s="757"/>
      <c r="F17" s="757"/>
      <c r="G17" s="757"/>
      <c r="H17" s="744" t="str">
        <f>IFERROR(IF(COTIZADOR!D12&gt;=COTIZADOR!O4,HLOOKUP($H$15,Condiciones!$B$2:$F$24,R17,FALSE),""),"")</f>
        <v/>
      </c>
      <c r="I17" s="744"/>
      <c r="J17" s="744"/>
      <c r="K17" s="744">
        <f>HLOOKUP($K$15,Condiciones!$B$2:$F$24,R17,FALSE)</f>
        <v>100</v>
      </c>
      <c r="L17" s="744"/>
      <c r="M17" s="744"/>
      <c r="N17" s="744">
        <f>HLOOKUP($N$15,Condiciones!$B$2:$F$24,R17,FALSE)</f>
        <v>100</v>
      </c>
      <c r="O17" s="744"/>
      <c r="P17" s="744"/>
      <c r="R17" s="677">
        <v>3</v>
      </c>
      <c r="S17" s="748" t="str">
        <f>IF(COTIZADOR!D12&lt;COTIZADOR!O4,"",'Titu A'!F33+'Conyu A'!F33*IF(COTIZADOR!D30="NO",0,1)+'Depen A'!F33*COTIZADOR!F40*COTIZADOR!G40)</f>
        <v/>
      </c>
      <c r="T17" s="748"/>
      <c r="U17" s="748"/>
      <c r="V17" s="748">
        <f ca="1">'Titu B'!F33+'Conyu B'!F33*IF(COTIZADOR!D30="NO",0,1)+'Depen B'!F33*COTIZADOR!F40*COTIZADOR!G40</f>
        <v>1103.1065833333339</v>
      </c>
      <c r="W17" s="748"/>
      <c r="X17" s="748"/>
      <c r="Y17" s="748">
        <f ca="1">'Titu C'!F33+'Conyu C'!F33*IF(COTIZADOR!D30="NO",0,1)+'Depen C'!F33*COTIZADOR!F40*COTIZADOR!G40</f>
        <v>1323.10475</v>
      </c>
      <c r="Z17" s="748"/>
      <c r="AA17" s="748"/>
    </row>
    <row r="18" spans="1:27" ht="20" customHeight="1" x14ac:dyDescent="0.3">
      <c r="B18" s="745" t="s">
        <v>345</v>
      </c>
      <c r="C18" s="745"/>
      <c r="D18" s="745"/>
      <c r="E18" s="745"/>
      <c r="F18" s="745"/>
      <c r="G18" s="745"/>
      <c r="H18" s="744" t="str">
        <f>IFERROR(IF(COTIZADOR!D13&lt;=COTIZADOR!O5,HLOOKUP($H$15,Condiciones!$B$2:$F$24,R18,FALSE),""),"")</f>
        <v/>
      </c>
      <c r="I18" s="744"/>
      <c r="J18" s="744"/>
      <c r="K18" s="744">
        <f>HLOOKUP($K$15,Condiciones!$B$2:$F$24,R18,FALSE)</f>
        <v>300</v>
      </c>
      <c r="L18" s="744"/>
      <c r="M18" s="744"/>
      <c r="N18" s="744">
        <f>HLOOKUP($N$15,Condiciones!$B$2:$F$24,R18,FALSE)</f>
        <v>300</v>
      </c>
      <c r="O18" s="744"/>
      <c r="P18" s="744"/>
      <c r="R18" s="677">
        <v>4</v>
      </c>
      <c r="T18" s="677" t="s">
        <v>378</v>
      </c>
    </row>
    <row r="19" spans="1:27" ht="15" customHeight="1" x14ac:dyDescent="0.3">
      <c r="B19" s="745" t="s">
        <v>348</v>
      </c>
      <c r="C19" s="745"/>
      <c r="D19" s="745"/>
      <c r="E19" s="745"/>
      <c r="F19" s="745"/>
      <c r="G19" s="745"/>
      <c r="H19" s="746" t="str">
        <f>IFERROR(IF(COTIZADOR!D14&lt;=COTIZADOR!O6,HLOOKUP($H$15,Condiciones!$B$2:$F$24,R19,FALSE),""),"")</f>
        <v/>
      </c>
      <c r="I19" s="746"/>
      <c r="J19" s="746"/>
      <c r="K19" s="746">
        <f>HLOOKUP($K$15,Condiciones!$B$2:$F$24,R19,FALSE)</f>
        <v>0.8</v>
      </c>
      <c r="L19" s="746"/>
      <c r="M19" s="746"/>
      <c r="N19" s="746">
        <f>HLOOKUP($N$15,Condiciones!$B$2:$F$24,R19,FALSE)</f>
        <v>0.8</v>
      </c>
      <c r="O19" s="746"/>
      <c r="P19" s="746"/>
      <c r="R19" s="677">
        <v>5</v>
      </c>
      <c r="T19" s="677" t="str">
        <f>COTIZADOR!D18</f>
        <v>HOMBRE</v>
      </c>
      <c r="U19" s="685">
        <f>IF(T19="MUJER",1,0)</f>
        <v>0</v>
      </c>
    </row>
    <row r="20" spans="1:27" ht="13" x14ac:dyDescent="0.3">
      <c r="B20" s="745" t="s">
        <v>349</v>
      </c>
      <c r="C20" s="745"/>
      <c r="D20" s="745"/>
      <c r="E20" s="745"/>
      <c r="F20" s="745"/>
      <c r="G20" s="745"/>
      <c r="H20" s="744" t="str">
        <f>IFERROR(IF(COTIZADOR!D15&lt;=COTIZADOR!O8,HLOOKUP($H$15,Condiciones!$B$2:$F$24,R20,FALSE),""),"")</f>
        <v/>
      </c>
      <c r="I20" s="744"/>
      <c r="J20" s="744"/>
      <c r="K20" s="744">
        <f>HLOOKUP($K$15,Condiciones!$B$2:$F$24,R20,FALSE)</f>
        <v>3000</v>
      </c>
      <c r="L20" s="744"/>
      <c r="M20" s="744"/>
      <c r="N20" s="744">
        <f>HLOOKUP($N$15,Condiciones!$B$2:$F$24,R20,FALSE)</f>
        <v>3000</v>
      </c>
      <c r="O20" s="744"/>
      <c r="P20" s="744"/>
      <c r="R20" s="677">
        <v>6</v>
      </c>
      <c r="T20" s="677" t="str">
        <f>COTIZADOR!D38</f>
        <v>MUJER</v>
      </c>
      <c r="U20" s="685">
        <f>IF(T20="MUJER",1,0)</f>
        <v>1</v>
      </c>
    </row>
    <row r="21" spans="1:27" ht="13" x14ac:dyDescent="0.3">
      <c r="B21" s="745" t="s">
        <v>356</v>
      </c>
      <c r="C21" s="745"/>
      <c r="D21" s="745"/>
      <c r="E21" s="745"/>
      <c r="F21" s="745"/>
      <c r="G21" s="745"/>
      <c r="H21" s="744" t="str">
        <f ca="1">IFERROR(IF(COTIZADOR!D16&gt;=COTIZADOR!O9,HLOOKUP($H$15,Condiciones!$B$2:$F$24,R21,FALSE),""),"")</f>
        <v/>
      </c>
      <c r="I21" s="744"/>
      <c r="J21" s="744"/>
      <c r="K21" s="744">
        <f>HLOOKUP($K$15,Condiciones!$B$2:$F$24,R21,FALSE)</f>
        <v>60</v>
      </c>
      <c r="L21" s="744"/>
      <c r="M21" s="744"/>
      <c r="N21" s="744">
        <f>HLOOKUP($N$15,Condiciones!$B$2:$F$24,R21,FALSE)</f>
        <v>60</v>
      </c>
      <c r="O21" s="744"/>
      <c r="P21" s="744"/>
      <c r="R21" s="677">
        <v>7</v>
      </c>
    </row>
    <row r="22" spans="1:27" ht="13" x14ac:dyDescent="0.3">
      <c r="B22" s="745" t="s">
        <v>384</v>
      </c>
      <c r="C22" s="745"/>
      <c r="D22" s="745"/>
      <c r="E22" s="745"/>
      <c r="F22" s="745"/>
      <c r="G22" s="745"/>
      <c r="H22" s="744" t="str">
        <f>IFERROR(IF(COTIZADOR!D17&lt;=COTIZADOR!O10,HLOOKUP($H$15,Condiciones!$B$2:$F$24,R22,FALSE),""),"")</f>
        <v/>
      </c>
      <c r="I22" s="744"/>
      <c r="J22" s="744"/>
      <c r="K22" s="744" t="str">
        <f>HLOOKUP($K$15,Condiciones!$B$2:$F$24,R22,FALSE)</f>
        <v>CCOI</v>
      </c>
      <c r="L22" s="744"/>
      <c r="M22" s="744"/>
      <c r="N22" s="744" t="str">
        <f>HLOOKUP($N$15,Condiciones!$B$2:$F$24,R22,FALSE)</f>
        <v>CCOI</v>
      </c>
      <c r="O22" s="744"/>
      <c r="P22" s="744"/>
      <c r="R22" s="677">
        <v>8</v>
      </c>
    </row>
    <row r="23" spans="1:27" ht="13" x14ac:dyDescent="0.3">
      <c r="B23" s="745" t="s">
        <v>387</v>
      </c>
      <c r="C23" s="745"/>
      <c r="D23" s="745"/>
      <c r="E23" s="745"/>
      <c r="F23" s="745"/>
      <c r="G23" s="745"/>
      <c r="H23" s="744" t="str">
        <f>IFERROR(IF(COTIZADOR!D18&gt;=COTIZADOR!O11,HLOOKUP($H$15,Condiciones!$B$2:$F$25,R23,FALSE),""),"")</f>
        <v/>
      </c>
      <c r="I23" s="744"/>
      <c r="J23" s="744"/>
      <c r="K23" s="744">
        <f>HLOOKUP($K$15,Condiciones!$B$2:$F$25,R23,FALSE)</f>
        <v>300</v>
      </c>
      <c r="L23" s="744"/>
      <c r="M23" s="744"/>
      <c r="N23" s="744">
        <f>HLOOKUP($N$15,Condiciones!$B$2:$F$25,R23,FALSE)</f>
        <v>300</v>
      </c>
      <c r="O23" s="744"/>
      <c r="P23" s="744"/>
      <c r="R23" s="677">
        <v>24</v>
      </c>
    </row>
    <row r="24" spans="1:27" s="685" customFormat="1" ht="13" x14ac:dyDescent="0.3">
      <c r="A24" s="677"/>
      <c r="B24" s="745" t="s">
        <v>350</v>
      </c>
      <c r="C24" s="745"/>
      <c r="D24" s="745"/>
      <c r="E24" s="745"/>
      <c r="F24" s="745"/>
      <c r="G24" s="745"/>
      <c r="H24" s="744" t="str">
        <f>IFERROR(IF(COTIZADOR!D18&gt;=COTIZADOR!O11,HLOOKUP($H$15,Condiciones!$B$2:$F$24,R24,FALSE),""),"")</f>
        <v/>
      </c>
      <c r="I24" s="744"/>
      <c r="J24" s="744"/>
      <c r="K24" s="744" t="str">
        <f>HLOOKUP($K$15,Condiciones!$B$2:$F$24,R24,FALSE)</f>
        <v>N/A</v>
      </c>
      <c r="L24" s="744"/>
      <c r="M24" s="744"/>
      <c r="N24" s="744" t="str">
        <f>HLOOKUP($N$15,Condiciones!$B$2:$F$24,R24,FALSE)</f>
        <v>N/A</v>
      </c>
      <c r="O24" s="744"/>
      <c r="P24" s="744"/>
      <c r="R24" s="685">
        <v>9</v>
      </c>
    </row>
    <row r="25" spans="1:27" ht="13" x14ac:dyDescent="0.3">
      <c r="B25" s="745" t="s">
        <v>351</v>
      </c>
      <c r="C25" s="745"/>
      <c r="D25" s="745"/>
      <c r="E25" s="745"/>
      <c r="F25" s="745"/>
      <c r="G25" s="745"/>
      <c r="H25" s="744" t="str">
        <f>IFERROR(IF(COTIZADOR!D19&lt;=COTIZADOR!O12,HLOOKUP($H$15,Condiciones!$B$2:$F$24,R25,FALSE),""),"")</f>
        <v/>
      </c>
      <c r="I25" s="744"/>
      <c r="J25" s="744"/>
      <c r="K25" s="744" t="str">
        <f>HLOOKUP($K$15,Condiciones!$B$2:$F$24,R25,FALSE)</f>
        <v>N/A</v>
      </c>
      <c r="L25" s="744"/>
      <c r="M25" s="744"/>
      <c r="N25" s="744" t="str">
        <f>HLOOKUP($N$15,Condiciones!$B$2:$F$24,R25,FALSE)</f>
        <v>N/A</v>
      </c>
      <c r="O25" s="744"/>
      <c r="P25" s="744"/>
      <c r="R25" s="677">
        <v>10</v>
      </c>
    </row>
    <row r="26" spans="1:27" ht="13" x14ac:dyDescent="0.3">
      <c r="B26" s="745" t="s">
        <v>353</v>
      </c>
      <c r="C26" s="745"/>
      <c r="D26" s="745"/>
      <c r="E26" s="745"/>
      <c r="F26" s="745"/>
      <c r="G26" s="745"/>
      <c r="H26" s="746" t="str">
        <f>IFERROR(IF(COTIZADOR!D20&lt;=COTIZADOR!O13,HLOOKUP($H$15,Condiciones!$B$2:$F$24,R26,FALSE),""),"")</f>
        <v/>
      </c>
      <c r="I26" s="746"/>
      <c r="J26" s="746"/>
      <c r="K26" s="746" t="str">
        <f>HLOOKUP($K$15,Condiciones!$B$2:$F$24,R26,FALSE)</f>
        <v>N/A</v>
      </c>
      <c r="L26" s="746"/>
      <c r="M26" s="746"/>
      <c r="N26" s="746" t="str">
        <f>HLOOKUP($N$15,Condiciones!$B$2:$F$24,R26,FALSE)</f>
        <v>N/A</v>
      </c>
      <c r="O26" s="746"/>
      <c r="P26" s="746"/>
      <c r="R26" s="677">
        <v>11</v>
      </c>
    </row>
    <row r="27" spans="1:27" ht="13" x14ac:dyDescent="0.3">
      <c r="B27" s="745" t="s">
        <v>354</v>
      </c>
      <c r="C27" s="745"/>
      <c r="D27" s="745"/>
      <c r="E27" s="745"/>
      <c r="F27" s="745"/>
      <c r="G27" s="745"/>
      <c r="H27" s="746" t="str">
        <f>IFERROR(IF(COTIZADOR!D21&lt;=COTIZADOR!O14,HLOOKUP($H$15,Condiciones!$B$2:$F$24,R27,FALSE),""),"")</f>
        <v/>
      </c>
      <c r="I27" s="746"/>
      <c r="J27" s="746"/>
      <c r="K27" s="746" t="str">
        <f>HLOOKUP($K$15,Condiciones!$B$2:$F$24,R27,FALSE)</f>
        <v>N/A</v>
      </c>
      <c r="L27" s="746"/>
      <c r="M27" s="746"/>
      <c r="N27" s="746" t="str">
        <f>HLOOKUP($N$15,Condiciones!$B$2:$F$24,R27,FALSE)</f>
        <v>N/A</v>
      </c>
      <c r="O27" s="746"/>
      <c r="P27" s="746"/>
      <c r="R27" s="677">
        <v>12</v>
      </c>
    </row>
    <row r="28" spans="1:27" ht="13" x14ac:dyDescent="0.3">
      <c r="B28" s="745" t="s">
        <v>352</v>
      </c>
      <c r="C28" s="745"/>
      <c r="D28" s="745"/>
      <c r="E28" s="745"/>
      <c r="F28" s="745"/>
      <c r="G28" s="745"/>
      <c r="H28" s="744" t="str">
        <f>IFERROR(IF(COTIZADOR!D22&gt;=COTIZADOR!O15,HLOOKUP($H$15,Condiciones!$B$2:$F$24,R28,FALSE),""),"")</f>
        <v/>
      </c>
      <c r="I28" s="744"/>
      <c r="J28" s="744"/>
      <c r="K28" s="744" t="str">
        <f>HLOOKUP($K$15,Condiciones!$B$2:$F$24,R28,FALSE)</f>
        <v>N/A</v>
      </c>
      <c r="L28" s="744"/>
      <c r="M28" s="744"/>
      <c r="N28" s="744" t="str">
        <f>HLOOKUP($N$15,Condiciones!$B$2:$F$24,R28,FALSE)</f>
        <v>N/A</v>
      </c>
      <c r="O28" s="744"/>
      <c r="P28" s="744"/>
      <c r="R28" s="677">
        <v>13</v>
      </c>
    </row>
    <row r="29" spans="1:27" ht="13" x14ac:dyDescent="0.3">
      <c r="B29" s="745" t="s">
        <v>355</v>
      </c>
      <c r="C29" s="745"/>
      <c r="D29" s="745"/>
      <c r="E29" s="745"/>
      <c r="F29" s="745"/>
      <c r="G29" s="745"/>
      <c r="H29" s="744" t="str">
        <f>IFERROR(IF(COTIZADOR!D23&lt;=COTIZADOR!O16,HLOOKUP($H$15,Condiciones!$B$2:$F$24,R29,FALSE),""),"")</f>
        <v/>
      </c>
      <c r="I29" s="744"/>
      <c r="J29" s="744"/>
      <c r="K29" s="744" t="str">
        <f>HLOOKUP($K$15,Condiciones!$B$2:$F$24,R29,FALSE)</f>
        <v>N/A</v>
      </c>
      <c r="L29" s="744"/>
      <c r="M29" s="744"/>
      <c r="N29" s="744" t="str">
        <f>HLOOKUP($N$15,Condiciones!$B$2:$F$24,R29,FALSE)</f>
        <v>N/A</v>
      </c>
      <c r="O29" s="744"/>
      <c r="P29" s="744"/>
      <c r="R29" s="677">
        <v>14</v>
      </c>
    </row>
    <row r="30" spans="1:27" ht="13" x14ac:dyDescent="0.3">
      <c r="B30" s="745" t="s">
        <v>385</v>
      </c>
      <c r="C30" s="745"/>
      <c r="D30" s="745"/>
      <c r="E30" s="745"/>
      <c r="F30" s="745"/>
      <c r="G30" s="745"/>
      <c r="H30" s="744" t="str">
        <f>IFERROR(IF(COTIZADOR!D24&lt;=COTIZADOR!O17,HLOOKUP($H$15,Condiciones!$B$2:$F$24,R30,FALSE),""),"")</f>
        <v/>
      </c>
      <c r="I30" s="744"/>
      <c r="J30" s="744"/>
      <c r="K30" s="744" t="str">
        <f>HLOOKUP($K$15,Condiciones!$B$2:$F$24,R30,FALSE)</f>
        <v>N/A</v>
      </c>
      <c r="L30" s="744"/>
      <c r="M30" s="744"/>
      <c r="N30" s="744" t="str">
        <f>HLOOKUP($N$15,Condiciones!$B$2:$F$24,R30,FALSE)</f>
        <v>N/A</v>
      </c>
      <c r="O30" s="744"/>
      <c r="P30" s="744"/>
      <c r="R30" s="677">
        <v>15</v>
      </c>
    </row>
    <row r="31" spans="1:27" ht="13" x14ac:dyDescent="0.3">
      <c r="B31" s="750" t="s">
        <v>357</v>
      </c>
      <c r="C31" s="750"/>
      <c r="D31" s="750"/>
      <c r="E31" s="750"/>
      <c r="F31" s="750"/>
      <c r="G31" s="750"/>
      <c r="H31" s="750"/>
      <c r="I31" s="750"/>
      <c r="J31" s="750"/>
      <c r="K31" s="750"/>
      <c r="L31" s="750"/>
      <c r="M31" s="750"/>
      <c r="N31" s="750"/>
      <c r="O31" s="750"/>
      <c r="P31" s="750"/>
      <c r="R31" s="677">
        <v>16</v>
      </c>
    </row>
    <row r="32" spans="1:27" ht="13" x14ac:dyDescent="0.3">
      <c r="B32" s="745" t="s">
        <v>358</v>
      </c>
      <c r="C32" s="745"/>
      <c r="D32" s="745"/>
      <c r="E32" s="745"/>
      <c r="F32" s="745"/>
      <c r="G32" s="745"/>
      <c r="H32" s="744" t="str">
        <f>IFERROR(IF(COTIZADOR!D26&gt;=COTIZADOR!O19,HLOOKUP($H$15,Condiciones!$B$2:$F$24,R32,FALSE),""),"")</f>
        <v/>
      </c>
      <c r="I32" s="744"/>
      <c r="J32" s="744"/>
      <c r="K32" s="744">
        <f>HLOOKUP($K$15,Condiciones!$B$2:$F$24,R32,FALSE)</f>
        <v>25000</v>
      </c>
      <c r="L32" s="744"/>
      <c r="M32" s="744"/>
      <c r="N32" s="744">
        <f>HLOOKUP($N$15,Condiciones!$B$2:$F$24,R32,FALSE)</f>
        <v>50000</v>
      </c>
      <c r="O32" s="744"/>
      <c r="P32" s="744"/>
      <c r="R32" s="677">
        <v>17</v>
      </c>
    </row>
    <row r="33" spans="2:23" ht="13" x14ac:dyDescent="0.3">
      <c r="B33" s="745" t="s">
        <v>359</v>
      </c>
      <c r="C33" s="745"/>
      <c r="D33" s="745"/>
      <c r="E33" s="745"/>
      <c r="F33" s="745"/>
      <c r="G33" s="745"/>
      <c r="H33" s="744" t="str">
        <f>IFERROR(IF(COTIZADOR!D27&lt;=COTIZADOR!O20,HLOOKUP($H$15,Condiciones!$B$2:$F$24,R33,FALSE),""),"")</f>
        <v/>
      </c>
      <c r="I33" s="744"/>
      <c r="J33" s="744"/>
      <c r="K33" s="744">
        <f>HLOOKUP($K$15,Condiciones!$B$2:$F$24,R33,FALSE)</f>
        <v>25000</v>
      </c>
      <c r="L33" s="744"/>
      <c r="M33" s="744"/>
      <c r="N33" s="744">
        <f>HLOOKUP($N$15,Condiciones!$B$2:$F$24,R33,FALSE)</f>
        <v>25000</v>
      </c>
      <c r="O33" s="744"/>
      <c r="P33" s="744"/>
      <c r="R33" s="677">
        <v>18</v>
      </c>
    </row>
    <row r="34" spans="2:23" ht="13" x14ac:dyDescent="0.3">
      <c r="B34" s="745" t="s">
        <v>360</v>
      </c>
      <c r="C34" s="745"/>
      <c r="D34" s="745"/>
      <c r="E34" s="745"/>
      <c r="F34" s="745"/>
      <c r="G34" s="745"/>
      <c r="H34" s="744" t="str">
        <f>IFERROR(IF(COTIZADOR!D28&gt;=COTIZADOR!O21,HLOOKUP($H$15,Condiciones!$B$2:$F$24,R34,FALSE),""),"")</f>
        <v/>
      </c>
      <c r="I34" s="744"/>
      <c r="J34" s="744"/>
      <c r="K34" s="744" t="str">
        <f>HLOOKUP($K$15,Condiciones!$B$2:$F$24,R34,FALSE)</f>
        <v>N/A</v>
      </c>
      <c r="L34" s="744"/>
      <c r="M34" s="744"/>
      <c r="N34" s="744" t="str">
        <f>HLOOKUP($N$15,Condiciones!$B$2:$F$24,R34,FALSE)</f>
        <v>N/A</v>
      </c>
      <c r="O34" s="744"/>
      <c r="P34" s="744"/>
      <c r="R34" s="677">
        <v>19</v>
      </c>
    </row>
    <row r="35" spans="2:23" ht="13" x14ac:dyDescent="0.3">
      <c r="B35" s="745" t="s">
        <v>361</v>
      </c>
      <c r="C35" s="745"/>
      <c r="D35" s="745"/>
      <c r="E35" s="745"/>
      <c r="F35" s="745"/>
      <c r="G35" s="745"/>
      <c r="H35" s="744" t="str">
        <f>IFERROR(IF(COTIZADOR!D29&lt;=COTIZADOR!O22,HLOOKUP($H$15,Condiciones!$B$2:$F$24,R35,FALSE),""),"")</f>
        <v/>
      </c>
      <c r="I35" s="744"/>
      <c r="J35" s="744"/>
      <c r="K35" s="744">
        <f>HLOOKUP($K$15,Condiciones!$B$2:$F$24,R35,FALSE)</f>
        <v>200</v>
      </c>
      <c r="L35" s="744"/>
      <c r="M35" s="744"/>
      <c r="N35" s="744">
        <f>HLOOKUP($N$15,Condiciones!$B$2:$F$24,R35,FALSE)</f>
        <v>200</v>
      </c>
      <c r="O35" s="744"/>
      <c r="P35" s="744"/>
      <c r="R35" s="677">
        <v>20</v>
      </c>
    </row>
    <row r="36" spans="2:23" ht="13" x14ac:dyDescent="0.3">
      <c r="B36" s="745" t="s">
        <v>362</v>
      </c>
      <c r="C36" s="745"/>
      <c r="D36" s="745"/>
      <c r="E36" s="745"/>
      <c r="F36" s="745"/>
      <c r="G36" s="745"/>
      <c r="H36" s="744" t="str">
        <f>IFERROR(IF(COTIZADOR!D30&gt;=COTIZADOR!O23,HLOOKUP($H$15,Condiciones!$B$2:$F$24,R36,FALSE),""),"")</f>
        <v/>
      </c>
      <c r="I36" s="744"/>
      <c r="J36" s="744"/>
      <c r="K36" s="744">
        <f>HLOOKUP($K$15,Condiciones!$B$2:$F$24,R36,FALSE)</f>
        <v>10000</v>
      </c>
      <c r="L36" s="744"/>
      <c r="M36" s="744"/>
      <c r="N36" s="744">
        <f>HLOOKUP($N$15,Condiciones!$B$2:$F$24,R36,FALSE)</f>
        <v>10000</v>
      </c>
      <c r="O36" s="744"/>
      <c r="P36" s="744"/>
      <c r="R36" s="677">
        <v>21</v>
      </c>
    </row>
    <row r="37" spans="2:23" ht="13" x14ac:dyDescent="0.3">
      <c r="B37" s="745" t="s">
        <v>363</v>
      </c>
      <c r="C37" s="745"/>
      <c r="D37" s="745"/>
      <c r="E37" s="745"/>
      <c r="F37" s="745"/>
      <c r="G37" s="745"/>
      <c r="H37" s="744" t="str">
        <f>IFERROR(IF(COTIZADOR!D31&lt;=COTIZADOR!O24,HLOOKUP($H$15,Condiciones!$B$2:$F$24,R37,FALSE),""),"")</f>
        <v/>
      </c>
      <c r="I37" s="744"/>
      <c r="J37" s="744"/>
      <c r="K37" s="744">
        <f>HLOOKUP($K$15,Condiciones!$B$2:$F$24,R37,FALSE)</f>
        <v>10000</v>
      </c>
      <c r="L37" s="744"/>
      <c r="M37" s="744"/>
      <c r="N37" s="744">
        <f>HLOOKUP($N$15,Condiciones!$B$2:$F$24,R37,FALSE)</f>
        <v>10000</v>
      </c>
      <c r="O37" s="744"/>
      <c r="P37" s="744"/>
      <c r="R37" s="677">
        <v>22</v>
      </c>
    </row>
    <row r="38" spans="2:23" ht="13" x14ac:dyDescent="0.3">
      <c r="B38" s="745" t="s">
        <v>364</v>
      </c>
      <c r="C38" s="745"/>
      <c r="D38" s="745"/>
      <c r="E38" s="745"/>
      <c r="F38" s="745"/>
      <c r="G38" s="745"/>
      <c r="H38" s="744" t="str">
        <f>IFERROR(IF(COTIZADOR!D32&lt;=COTIZADOR!O25,HLOOKUP($H$15,Condiciones!$B$2:$F$24,R38,FALSE),""),"")</f>
        <v/>
      </c>
      <c r="I38" s="744"/>
      <c r="J38" s="744"/>
      <c r="K38" s="744">
        <f>HLOOKUP($K$15,Condiciones!$B$2:$F$24,R38,FALSE)</f>
        <v>500</v>
      </c>
      <c r="L38" s="744"/>
      <c r="M38" s="744"/>
      <c r="N38" s="744">
        <f>HLOOKUP($N$15,Condiciones!$B$2:$F$24,R38,FALSE)</f>
        <v>500</v>
      </c>
      <c r="O38" s="744"/>
      <c r="P38" s="744"/>
      <c r="R38" s="677">
        <v>23</v>
      </c>
    </row>
    <row r="39" spans="2:23" ht="16.5" customHeight="1" x14ac:dyDescent="0.3">
      <c r="B39" s="693" t="str">
        <f>IF(COTIZADOR!D26="MENSUAL","PRIMERA CUOTA DE MES "&amp;"","PRIMA TOTAL "&amp;COTIZADOR!D26&amp;":")</f>
        <v xml:space="preserve">PRIMERA CUOTA DE MES </v>
      </c>
      <c r="C39" s="693"/>
      <c r="D39" s="693"/>
      <c r="E39" s="693"/>
      <c r="F39" s="693"/>
      <c r="G39" s="693"/>
      <c r="H39" s="762" t="str">
        <f>IFERROR((IF(COTIZADOR!D26="MENSUAL",S17*(1+7%)*(0.0837),IF(COTIZADOR!D26="TRIMESTRAL",S17*(1+6%)/4,IF(COTIZADOR!D26="SEMESTRAL",S17*(1+4%)/2,IF(COTIZADOR!D26="ANUAL",S17)))))*IF(H16="CA",(1+U3),(1+V3)),"")</f>
        <v/>
      </c>
      <c r="I39" s="762"/>
      <c r="J39" s="762"/>
      <c r="K39" s="762">
        <f ca="1">(+IF(COTIZADOR!D26="MENSUAL",V17*(1+7%)*(0.0837),IF(COTIZADOR!D26="TRIMESTRAL",V17*(1+6%)/4,IF(COTIZADOR!D26="SEMESTRAL",V17*(1+4%)/2,IF(COTIZADOR!D26="ANUAL",V17)))))*IF(K16="CA",(1+U3),(1+V3))</f>
        <v>133.3707153706126</v>
      </c>
      <c r="L39" s="762"/>
      <c r="M39" s="762"/>
      <c r="N39" s="762">
        <f ca="1">(+IF(COTIZADOR!D26="MENSUAL",Y17*(1+7%)*(0.0837),IF(COTIZADOR!D26="TRIMESTRAL",Y17*(1+6%)/4,IF(COTIZADOR!D26="SEMESTRAL",Y17*(1+4%)/2,IF(COTIZADOR!D26="ANUAL",Y17)))))*IF(N16="CA",(1+U3),(1+V3))</f>
        <v>159.96951671208751</v>
      </c>
      <c r="O39" s="762"/>
      <c r="P39" s="762"/>
      <c r="U39" s="720"/>
      <c r="W39" s="720"/>
    </row>
    <row r="40" spans="2:23" ht="16.5" customHeight="1" x14ac:dyDescent="0.3">
      <c r="B40" s="693" t="str">
        <f>IF(COTIZADOR!D26="MENSUAL","SIGUIENTES ONCE CUOTAS ","")</f>
        <v xml:space="preserve">SIGUIENTES ONCE CUOTAS </v>
      </c>
      <c r="C40" s="693"/>
      <c r="D40" s="693"/>
      <c r="E40" s="693"/>
      <c r="F40" s="693"/>
      <c r="G40" s="693"/>
      <c r="H40" s="762" t="str">
        <f>IFERROR((IF(COTIZADOR!D26="MENSUAL",S17*(1+7%)*(0.0833),""))*IF(H16="CA",(1+U3),(1+V3)),"")</f>
        <v/>
      </c>
      <c r="I40" s="762"/>
      <c r="J40" s="762"/>
      <c r="K40" s="762">
        <f ca="1">IF(COTIZADOR!D26="MENSUAL",V17*(1+7%)*(0.0833),"")*IF(K16="CA",(1+U3),(1+V3))</f>
        <v>132.73334038676259</v>
      </c>
      <c r="L40" s="762"/>
      <c r="M40" s="762"/>
      <c r="N40" s="762">
        <f ca="1">IF(COTIZADOR!D26="MENSUAL",Y17*(1+7%)*(0.0833),"")*IF(N16="CA",(1+U3),(1+V3))</f>
        <v>159.20502678753749</v>
      </c>
      <c r="O40" s="762"/>
      <c r="P40" s="762"/>
      <c r="V40" s="721"/>
      <c r="W40" s="721"/>
    </row>
    <row r="41" spans="2:23" ht="13" x14ac:dyDescent="0.3">
      <c r="B41" s="745" t="s">
        <v>368</v>
      </c>
      <c r="C41" s="745"/>
      <c r="D41" s="745"/>
      <c r="E41" s="745"/>
      <c r="F41" s="745"/>
      <c r="G41" s="745"/>
      <c r="H41" s="736" t="str">
        <f>COTIZADOR!D26</f>
        <v>MENSUAL</v>
      </c>
      <c r="I41" s="736"/>
      <c r="J41" s="736"/>
      <c r="K41" s="736"/>
      <c r="L41" s="736"/>
      <c r="M41" s="736"/>
      <c r="N41" s="736"/>
      <c r="O41" s="736"/>
      <c r="P41" s="736"/>
    </row>
    <row r="42" spans="2:23" ht="13" x14ac:dyDescent="0.3">
      <c r="B42" s="745" t="s">
        <v>369</v>
      </c>
      <c r="C42" s="745"/>
      <c r="D42" s="745"/>
      <c r="E42" s="745"/>
      <c r="F42" s="745"/>
      <c r="G42" s="745"/>
      <c r="H42" s="750" t="str">
        <f>IF(COTIZADOR!D12&lt;COTIZADOR!O4,"","PLAN A")</f>
        <v/>
      </c>
      <c r="I42" s="751"/>
      <c r="J42" s="697"/>
      <c r="K42" s="752" t="str">
        <f>IF(COTIZADOR!D12&lt;COTIZADOR!O4,"PLAN A","PLAN B")</f>
        <v>PLAN A</v>
      </c>
      <c r="L42" s="751"/>
      <c r="M42" s="697"/>
      <c r="N42" s="752" t="str">
        <f>IF(COTIZADOR!D12&lt;COTIZADOR!O4,"PLAN B","PLAN C")</f>
        <v>PLAN B</v>
      </c>
      <c r="O42" s="751"/>
      <c r="P42" s="697"/>
    </row>
    <row r="43" spans="2:23" ht="5.25" customHeight="1" x14ac:dyDescent="0.3">
      <c r="B43" s="686"/>
      <c r="C43" s="686"/>
      <c r="D43" s="686"/>
      <c r="E43" s="686"/>
      <c r="F43" s="686"/>
      <c r="G43" s="686"/>
      <c r="H43" s="701"/>
      <c r="I43" s="701"/>
      <c r="J43" s="685"/>
      <c r="K43" s="701"/>
      <c r="L43" s="701"/>
      <c r="M43" s="685"/>
      <c r="N43" s="701"/>
      <c r="O43" s="701"/>
      <c r="P43" s="685"/>
    </row>
    <row r="44" spans="2:23" ht="13" x14ac:dyDescent="0.3">
      <c r="B44" s="677" t="s">
        <v>316</v>
      </c>
      <c r="L44" s="701"/>
      <c r="M44" s="685"/>
      <c r="N44" s="701"/>
      <c r="O44" s="701"/>
      <c r="P44" s="685"/>
    </row>
    <row r="45" spans="2:23" ht="13" x14ac:dyDescent="0.3">
      <c r="B45" s="677" t="s">
        <v>317</v>
      </c>
      <c r="G45" s="677" t="s">
        <v>388</v>
      </c>
      <c r="H45" s="682"/>
      <c r="L45" s="701"/>
      <c r="M45" s="685"/>
      <c r="N45" s="701"/>
      <c r="O45" s="701"/>
      <c r="P45" s="685"/>
    </row>
    <row r="46" spans="2:23" ht="12.75" customHeight="1" x14ac:dyDescent="0.25">
      <c r="B46" s="677" t="s">
        <v>318</v>
      </c>
      <c r="G46" s="743" t="str">
        <f ca="1">Condiciones!B29</f>
        <v>5. Exámenes después de los 55 años: EM, Electrocardiograma, Glucosa, Colesterol, Trigliceridos, Creatinina y Análisis de Orina.</v>
      </c>
      <c r="H46" s="743"/>
      <c r="I46" s="743"/>
      <c r="J46" s="743"/>
      <c r="K46" s="743"/>
      <c r="L46" s="743"/>
      <c r="M46" s="743"/>
      <c r="N46" s="743"/>
      <c r="O46" s="743"/>
      <c r="P46" s="743"/>
    </row>
    <row r="47" spans="2:23" ht="12.5" x14ac:dyDescent="0.25">
      <c r="B47" s="677" t="s">
        <v>319</v>
      </c>
      <c r="G47" s="743"/>
      <c r="H47" s="743"/>
      <c r="I47" s="743"/>
      <c r="J47" s="743"/>
      <c r="K47" s="743"/>
      <c r="L47" s="743"/>
      <c r="M47" s="743"/>
      <c r="N47" s="743"/>
      <c r="O47" s="743"/>
      <c r="P47" s="743"/>
    </row>
    <row r="48" spans="2:23" ht="5.25" customHeight="1" x14ac:dyDescent="0.25">
      <c r="O48" s="677"/>
      <c r="P48" s="677"/>
    </row>
    <row r="49" spans="2:16" ht="12.5" x14ac:dyDescent="0.25">
      <c r="B49" s="677" t="str">
        <f ca="1">"Oferta válida 30 días a partir de la fecha de su emisión: "&amp;TEXT(TODAY(),"[$-x-sysdate]dddd, mmmm dd, yyyy")</f>
        <v>Oferta válida 30 días a partir de la fecha de su emisión: viernes, 6 de enero de 2023</v>
      </c>
      <c r="O49" s="677"/>
      <c r="P49" s="677"/>
    </row>
    <row r="50" spans="2:16" ht="25.5" customHeight="1" x14ac:dyDescent="0.3">
      <c r="B50" s="753" t="s">
        <v>377</v>
      </c>
      <c r="C50" s="753"/>
      <c r="D50" s="753"/>
      <c r="E50" s="753"/>
      <c r="F50" s="753"/>
      <c r="G50" s="753"/>
      <c r="H50" s="753"/>
      <c r="I50" s="753"/>
      <c r="J50" s="753"/>
      <c r="K50" s="753"/>
      <c r="L50" s="753"/>
      <c r="M50" s="753"/>
      <c r="N50" s="753"/>
      <c r="O50" s="753"/>
      <c r="P50" s="753"/>
    </row>
    <row r="51" spans="2:16" ht="12.5" x14ac:dyDescent="0.25">
      <c r="O51" s="677"/>
      <c r="P51" s="677"/>
    </row>
    <row r="52" spans="2:16" ht="12.5" x14ac:dyDescent="0.25">
      <c r="O52" s="677"/>
      <c r="P52" s="677"/>
    </row>
    <row r="53" spans="2:16" ht="12.5" x14ac:dyDescent="0.25">
      <c r="B53" s="677" t="s">
        <v>391</v>
      </c>
      <c r="E53" s="683"/>
      <c r="F53" s="677" t="s">
        <v>391</v>
      </c>
      <c r="L53" s="677" t="s">
        <v>391</v>
      </c>
      <c r="O53" s="677"/>
      <c r="P53" s="677"/>
    </row>
    <row r="54" spans="2:16" ht="12.5" x14ac:dyDescent="0.25">
      <c r="B54" s="686" t="s">
        <v>390</v>
      </c>
      <c r="C54" s="710"/>
      <c r="F54" s="677" t="s">
        <v>393</v>
      </c>
      <c r="L54" s="686" t="s">
        <v>392</v>
      </c>
      <c r="O54" s="677"/>
      <c r="P54" s="677"/>
    </row>
    <row r="55" spans="2:16" ht="12.5" x14ac:dyDescent="0.25">
      <c r="O55" s="677"/>
      <c r="P55" s="677"/>
    </row>
    <row r="56" spans="2:16" ht="5.25" customHeight="1" x14ac:dyDescent="0.25">
      <c r="B56" s="686"/>
      <c r="C56" s="710"/>
      <c r="O56" s="677"/>
      <c r="P56" s="677"/>
    </row>
    <row r="57" spans="2:16" ht="12.5" x14ac:dyDescent="0.25">
      <c r="B57" s="749" t="str">
        <f>IF(INTERMEDIARIO!C11="","Intermediario: "&amp;INTERMEDIARIO!C12&amp;".","Intermediario, Empresa: "&amp;INTERMEDIARIO!C12&amp;", "&amp;INTERMEDIARIO!C11&amp;".")</f>
        <v>Intermediario, Empresa: , Atlántida Vida S.A. Seguros de Personas.</v>
      </c>
      <c r="C57" s="749"/>
      <c r="D57" s="749"/>
      <c r="E57" s="749"/>
      <c r="F57" s="749"/>
      <c r="G57" s="749"/>
      <c r="H57" s="749"/>
      <c r="I57" s="749"/>
      <c r="J57" s="749"/>
      <c r="K57" s="749"/>
      <c r="L57" s="749"/>
      <c r="M57" s="749"/>
      <c r="N57" s="687" t="str">
        <f>INTERMEDIARIO!B9</f>
        <v>V.2023.001</v>
      </c>
      <c r="O57" s="687"/>
      <c r="P57" s="687"/>
    </row>
    <row r="58" spans="2:16" ht="12.5" x14ac:dyDescent="0.25">
      <c r="B58" s="714" t="str">
        <f>"     Correo electrónico:  "&amp;INTERMEDIARIO!C14</f>
        <v xml:space="preserve">     Correo electrónico:  aseguradoatlantida@seatlan.sv</v>
      </c>
      <c r="C58" s="714"/>
      <c r="D58" s="714"/>
      <c r="E58" s="714"/>
      <c r="F58" s="714"/>
      <c r="G58" s="714"/>
      <c r="H58" s="715"/>
      <c r="I58" s="714"/>
      <c r="J58" s="714" t="str">
        <f>"Teléfono:  "&amp;INTERMEDIARIO!C13</f>
        <v>Teléfono:  2267-4570</v>
      </c>
      <c r="K58" s="714"/>
      <c r="L58" s="715"/>
      <c r="M58" s="715"/>
      <c r="N58" s="714" t="str">
        <f>"IVD:  "&amp;INTERMEDIARIO!C15</f>
        <v>IVD:  0</v>
      </c>
      <c r="O58" s="714"/>
      <c r="P58" s="714"/>
    </row>
    <row r="59" spans="2:16" ht="12.5" x14ac:dyDescent="0.25">
      <c r="B59" s="747" t="s">
        <v>376</v>
      </c>
      <c r="C59" s="747"/>
      <c r="D59" s="747"/>
      <c r="E59" s="747"/>
      <c r="F59" s="747"/>
      <c r="G59" s="747"/>
      <c r="H59" s="747"/>
      <c r="I59" s="747"/>
      <c r="J59" s="747"/>
      <c r="K59" s="747"/>
      <c r="L59" s="747"/>
      <c r="M59" s="747"/>
      <c r="N59" s="747"/>
      <c r="O59" s="747"/>
      <c r="P59" s="747"/>
    </row>
    <row r="60" spans="2:16" ht="3" customHeight="1" x14ac:dyDescent="0.25"/>
  </sheetData>
  <sheetProtection algorithmName="SHA-512" hashValue="rfC0CX4ipQ8s2zUan0mz4Xv4yPMVAwzjEk53Bp4W5I9jvPdzWyPX9T+AGjSWCoCzttda0HB16ZWVZR+MzKYMXQ==" saltValue="co7VgpleD8FKoxQnnu7uHQ==" spinCount="100000" sheet="1" objects="1" scenarios="1" selectLockedCells="1" selectUnlockedCells="1"/>
  <mergeCells count="130">
    <mergeCell ref="B35:G35"/>
    <mergeCell ref="B21:G21"/>
    <mergeCell ref="B30:G30"/>
    <mergeCell ref="K28:M28"/>
    <mergeCell ref="N26:P26"/>
    <mergeCell ref="K27:M27"/>
    <mergeCell ref="H28:J28"/>
    <mergeCell ref="K40:M40"/>
    <mergeCell ref="N40:P40"/>
    <mergeCell ref="H40:J40"/>
    <mergeCell ref="K33:M33"/>
    <mergeCell ref="N32:P32"/>
    <mergeCell ref="N14:P14"/>
    <mergeCell ref="K14:M14"/>
    <mergeCell ref="H14:J14"/>
    <mergeCell ref="B15:G15"/>
    <mergeCell ref="K15:M15"/>
    <mergeCell ref="B14:G14"/>
    <mergeCell ref="H15:J15"/>
    <mergeCell ref="H16:J16"/>
    <mergeCell ref="H39:J39"/>
    <mergeCell ref="K39:M39"/>
    <mergeCell ref="K20:M20"/>
    <mergeCell ref="K21:M21"/>
    <mergeCell ref="N39:P39"/>
    <mergeCell ref="B29:G29"/>
    <mergeCell ref="B31:P31"/>
    <mergeCell ref="B32:G32"/>
    <mergeCell ref="B33:G33"/>
    <mergeCell ref="B34:G34"/>
    <mergeCell ref="N33:P33"/>
    <mergeCell ref="N29:P29"/>
    <mergeCell ref="K29:M29"/>
    <mergeCell ref="K30:M30"/>
    <mergeCell ref="H30:J30"/>
    <mergeCell ref="K32:M32"/>
    <mergeCell ref="M10:N10"/>
    <mergeCell ref="M11:N11"/>
    <mergeCell ref="O9:P9"/>
    <mergeCell ref="O10:P10"/>
    <mergeCell ref="I9:K9"/>
    <mergeCell ref="C10:H10"/>
    <mergeCell ref="I10:K10"/>
    <mergeCell ref="I11:K11"/>
    <mergeCell ref="B13:P13"/>
    <mergeCell ref="N19:P19"/>
    <mergeCell ref="N20:P20"/>
    <mergeCell ref="N21:P21"/>
    <mergeCell ref="B25:G25"/>
    <mergeCell ref="N17:P17"/>
    <mergeCell ref="N18:P18"/>
    <mergeCell ref="B17:G17"/>
    <mergeCell ref="N22:P22"/>
    <mergeCell ref="B19:G19"/>
    <mergeCell ref="B20:G20"/>
    <mergeCell ref="B22:G22"/>
    <mergeCell ref="B18:G18"/>
    <mergeCell ref="H22:J22"/>
    <mergeCell ref="E3:P3"/>
    <mergeCell ref="H1:P1"/>
    <mergeCell ref="K26:M26"/>
    <mergeCell ref="B26:G26"/>
    <mergeCell ref="K17:M17"/>
    <mergeCell ref="N24:P24"/>
    <mergeCell ref="H17:J17"/>
    <mergeCell ref="H18:J18"/>
    <mergeCell ref="H19:J19"/>
    <mergeCell ref="H20:J20"/>
    <mergeCell ref="H21:J21"/>
    <mergeCell ref="N25:P25"/>
    <mergeCell ref="B24:G24"/>
    <mergeCell ref="H25:J25"/>
    <mergeCell ref="H26:J26"/>
    <mergeCell ref="K18:M18"/>
    <mergeCell ref="K19:M19"/>
    <mergeCell ref="K16:M16"/>
    <mergeCell ref="N15:P15"/>
    <mergeCell ref="N16:P16"/>
    <mergeCell ref="B16:G16"/>
    <mergeCell ref="C9:H9"/>
    <mergeCell ref="C11:H11"/>
    <mergeCell ref="M9:N9"/>
    <mergeCell ref="B59:P59"/>
    <mergeCell ref="H34:J34"/>
    <mergeCell ref="Y17:AA17"/>
    <mergeCell ref="H41:P41"/>
    <mergeCell ref="B41:G41"/>
    <mergeCell ref="B42:G42"/>
    <mergeCell ref="B57:M57"/>
    <mergeCell ref="H42:I42"/>
    <mergeCell ref="K42:L42"/>
    <mergeCell ref="N42:O42"/>
    <mergeCell ref="B50:P50"/>
    <mergeCell ref="S17:U17"/>
    <mergeCell ref="V17:X17"/>
    <mergeCell ref="K34:M34"/>
    <mergeCell ref="N30:P30"/>
    <mergeCell ref="K22:M22"/>
    <mergeCell ref="K24:M24"/>
    <mergeCell ref="K25:M25"/>
    <mergeCell ref="B28:G28"/>
    <mergeCell ref="B37:G37"/>
    <mergeCell ref="B38:G38"/>
    <mergeCell ref="H32:J32"/>
    <mergeCell ref="H27:J27"/>
    <mergeCell ref="H24:J24"/>
    <mergeCell ref="G46:P47"/>
    <mergeCell ref="N37:P37"/>
    <mergeCell ref="K37:M37"/>
    <mergeCell ref="H37:J37"/>
    <mergeCell ref="N38:P38"/>
    <mergeCell ref="K38:M38"/>
    <mergeCell ref="H38:J38"/>
    <mergeCell ref="B23:G23"/>
    <mergeCell ref="H23:J23"/>
    <mergeCell ref="K23:M23"/>
    <mergeCell ref="N23:P23"/>
    <mergeCell ref="H29:J29"/>
    <mergeCell ref="N28:P28"/>
    <mergeCell ref="N27:P27"/>
    <mergeCell ref="N36:P36"/>
    <mergeCell ref="K36:M36"/>
    <mergeCell ref="H36:J36"/>
    <mergeCell ref="N35:P35"/>
    <mergeCell ref="K35:M35"/>
    <mergeCell ref="H35:J35"/>
    <mergeCell ref="N34:P34"/>
    <mergeCell ref="B27:G27"/>
    <mergeCell ref="B36:G36"/>
    <mergeCell ref="H33:J33"/>
  </mergeCells>
  <conditionalFormatting sqref="J42">
    <cfRule type="cellIs" dxfId="1" priority="2" operator="equal">
      <formula>$H$42="PLAN A"</formula>
    </cfRule>
  </conditionalFormatting>
  <conditionalFormatting sqref="B40:P40">
    <cfRule type="expression" dxfId="0" priority="1">
      <formula>$H$41&lt;&gt;"MENSUAL"</formula>
    </cfRule>
  </conditionalFormatting>
  <pageMargins left="0.25" right="0.25" top="0.75" bottom="0.75" header="0.3" footer="0.3"/>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9"/>
  <sheetViews>
    <sheetView topLeftCell="A11" workbookViewId="0">
      <selection activeCell="B29" sqref="B29"/>
    </sheetView>
  </sheetViews>
  <sheetFormatPr baseColWidth="10" defaultColWidth="9.1796875" defaultRowHeight="14.5" x14ac:dyDescent="0.35"/>
  <cols>
    <col min="1" max="1" width="75" bestFit="1" customWidth="1"/>
    <col min="2" max="6" width="19.453125" customWidth="1"/>
  </cols>
  <sheetData>
    <row r="1" spans="1:9" x14ac:dyDescent="0.35">
      <c r="A1" s="698" t="s">
        <v>340</v>
      </c>
      <c r="B1" s="691" t="s">
        <v>343</v>
      </c>
      <c r="C1" s="691" t="s">
        <v>342</v>
      </c>
      <c r="D1" s="691" t="s">
        <v>341</v>
      </c>
      <c r="E1" s="691" t="s">
        <v>341</v>
      </c>
      <c r="F1" s="691" t="s">
        <v>341</v>
      </c>
    </row>
    <row r="2" spans="1:9" x14ac:dyDescent="0.35">
      <c r="A2" s="686" t="s">
        <v>344</v>
      </c>
      <c r="B2" s="695">
        <v>50000</v>
      </c>
      <c r="C2" s="695">
        <v>100000</v>
      </c>
      <c r="D2" s="695">
        <v>250000</v>
      </c>
      <c r="E2" s="695">
        <v>500000</v>
      </c>
      <c r="F2" s="695">
        <v>1000000</v>
      </c>
    </row>
    <row r="3" spans="1:9" x14ac:dyDescent="0.35">
      <c r="A3" s="686" t="s">
        <v>346</v>
      </c>
      <c r="B3" s="695" t="s">
        <v>321</v>
      </c>
      <c r="C3" s="695" t="s">
        <v>321</v>
      </c>
      <c r="D3" s="695" t="s">
        <v>292</v>
      </c>
      <c r="E3" s="695" t="s">
        <v>292</v>
      </c>
      <c r="F3" s="695" t="s">
        <v>292</v>
      </c>
    </row>
    <row r="4" spans="1:9" x14ac:dyDescent="0.35">
      <c r="A4" s="686" t="s">
        <v>347</v>
      </c>
      <c r="B4" s="695">
        <v>100</v>
      </c>
      <c r="C4" s="695">
        <v>100</v>
      </c>
      <c r="D4" s="695">
        <v>125</v>
      </c>
      <c r="E4" s="695">
        <v>150</v>
      </c>
      <c r="F4" s="695">
        <v>150</v>
      </c>
    </row>
    <row r="5" spans="1:9" x14ac:dyDescent="0.35">
      <c r="A5" s="686" t="s">
        <v>345</v>
      </c>
      <c r="B5" s="695">
        <f>B4*3</f>
        <v>300</v>
      </c>
      <c r="C5" s="695">
        <f>C4*3</f>
        <v>300</v>
      </c>
      <c r="D5" s="695">
        <f>D4*3</f>
        <v>375</v>
      </c>
      <c r="E5" s="695">
        <f>E4*3</f>
        <v>450</v>
      </c>
      <c r="F5" s="695">
        <f>F4*3</f>
        <v>450</v>
      </c>
    </row>
    <row r="6" spans="1:9" x14ac:dyDescent="0.35">
      <c r="A6" s="686" t="s">
        <v>348</v>
      </c>
      <c r="B6" s="699">
        <v>0.8</v>
      </c>
      <c r="C6" s="699">
        <v>0.8</v>
      </c>
      <c r="D6" s="699">
        <v>0.8</v>
      </c>
      <c r="E6" s="699">
        <v>0.8</v>
      </c>
      <c r="F6" s="699">
        <v>0.8</v>
      </c>
    </row>
    <row r="7" spans="1:9" x14ac:dyDescent="0.35">
      <c r="A7" s="686" t="s">
        <v>349</v>
      </c>
      <c r="B7" s="695">
        <v>3000</v>
      </c>
      <c r="C7" s="695">
        <v>3000</v>
      </c>
      <c r="D7" s="695">
        <v>3000</v>
      </c>
      <c r="E7" s="695">
        <v>3000</v>
      </c>
      <c r="F7" s="695">
        <v>3000</v>
      </c>
    </row>
    <row r="8" spans="1:9" x14ac:dyDescent="0.35">
      <c r="A8" s="686" t="s">
        <v>356</v>
      </c>
      <c r="B8" s="695">
        <v>60</v>
      </c>
      <c r="C8" s="695">
        <v>60</v>
      </c>
      <c r="D8" s="695">
        <v>60</v>
      </c>
      <c r="E8" s="695">
        <v>60</v>
      </c>
      <c r="F8" s="695">
        <v>60</v>
      </c>
    </row>
    <row r="9" spans="1:9" x14ac:dyDescent="0.35">
      <c r="A9" s="686" t="s">
        <v>371</v>
      </c>
      <c r="B9" s="695" t="str">
        <f>IF(I12=1,"CCOI","N/A")</f>
        <v>CCOI</v>
      </c>
      <c r="C9" s="695" t="str">
        <f>IF(I12=1,"CCOI","N/A")</f>
        <v>CCOI</v>
      </c>
      <c r="D9" s="695" t="str">
        <f>IF(I12=1,"CCOI","N/A")</f>
        <v>CCOI</v>
      </c>
      <c r="E9" s="695" t="str">
        <f>IF(I12=1,"CCOI","N/A")</f>
        <v>CCOI</v>
      </c>
      <c r="F9" s="695" t="str">
        <f>IF(I12=1,"CCOI","N/A")</f>
        <v>CCOI</v>
      </c>
      <c r="H9" s="677" t="s">
        <v>378</v>
      </c>
      <c r="I9" s="677"/>
    </row>
    <row r="10" spans="1:9" x14ac:dyDescent="0.35">
      <c r="A10" s="686" t="s">
        <v>350</v>
      </c>
      <c r="B10" s="695" t="s">
        <v>370</v>
      </c>
      <c r="C10" s="695" t="s">
        <v>370</v>
      </c>
      <c r="D10" s="695">
        <v>2000</v>
      </c>
      <c r="E10" s="695">
        <v>2000</v>
      </c>
      <c r="F10" s="695">
        <v>2000</v>
      </c>
      <c r="H10" s="677" t="str">
        <f>COTIZADOR!D18</f>
        <v>HOMBRE</v>
      </c>
      <c r="I10" s="677">
        <f>IF(H10="MUJER",1,0)</f>
        <v>0</v>
      </c>
    </row>
    <row r="11" spans="1:9" x14ac:dyDescent="0.35">
      <c r="A11" s="686" t="s">
        <v>351</v>
      </c>
      <c r="B11" s="695" t="s">
        <v>370</v>
      </c>
      <c r="C11" s="695" t="s">
        <v>370</v>
      </c>
      <c r="D11" s="695">
        <f>D10*3</f>
        <v>6000</v>
      </c>
      <c r="E11" s="695">
        <f>E10*3</f>
        <v>6000</v>
      </c>
      <c r="F11" s="695">
        <f>F10*3</f>
        <v>6000</v>
      </c>
      <c r="H11" s="677" t="str">
        <f>COTIZADOR!D38</f>
        <v>MUJER</v>
      </c>
      <c r="I11" s="677">
        <f>IF(COTIZADOR!D30="NO",0,IF(H11="MUJER",1,0))</f>
        <v>1</v>
      </c>
    </row>
    <row r="12" spans="1:9" x14ac:dyDescent="0.35">
      <c r="A12" s="686" t="s">
        <v>353</v>
      </c>
      <c r="B12" s="695" t="s">
        <v>370</v>
      </c>
      <c r="C12" s="695" t="s">
        <v>370</v>
      </c>
      <c r="D12" s="699">
        <v>0.75</v>
      </c>
      <c r="E12" s="699">
        <v>0.75</v>
      </c>
      <c r="F12" s="699">
        <v>0.75</v>
      </c>
      <c r="H12" t="s">
        <v>379</v>
      </c>
      <c r="I12" s="668">
        <f>IF(I10=1,1,IF(I11=1,1,0))</f>
        <v>1</v>
      </c>
    </row>
    <row r="13" spans="1:9" x14ac:dyDescent="0.35">
      <c r="A13" s="686" t="s">
        <v>354</v>
      </c>
      <c r="B13" s="695" t="s">
        <v>370</v>
      </c>
      <c r="C13" s="695" t="s">
        <v>370</v>
      </c>
      <c r="D13" s="699">
        <v>0.65</v>
      </c>
      <c r="E13" s="699">
        <v>0.65</v>
      </c>
      <c r="F13" s="699">
        <v>0.65</v>
      </c>
    </row>
    <row r="14" spans="1:9" x14ac:dyDescent="0.35">
      <c r="A14" s="686" t="s">
        <v>352</v>
      </c>
      <c r="B14" s="695" t="s">
        <v>370</v>
      </c>
      <c r="C14" s="695" t="s">
        <v>370</v>
      </c>
      <c r="D14" s="695">
        <v>15000</v>
      </c>
      <c r="E14" s="695">
        <v>15000</v>
      </c>
      <c r="F14" s="695">
        <v>15000</v>
      </c>
    </row>
    <row r="15" spans="1:9" x14ac:dyDescent="0.35">
      <c r="A15" s="686" t="s">
        <v>355</v>
      </c>
      <c r="B15" s="695" t="s">
        <v>370</v>
      </c>
      <c r="C15" s="695" t="s">
        <v>370</v>
      </c>
      <c r="D15" s="695">
        <v>400</v>
      </c>
      <c r="E15" s="695">
        <v>400</v>
      </c>
      <c r="F15" s="695">
        <v>400</v>
      </c>
    </row>
    <row r="16" spans="1:9" x14ac:dyDescent="0.35">
      <c r="A16" s="686" t="s">
        <v>372</v>
      </c>
      <c r="B16" s="695" t="s">
        <v>370</v>
      </c>
      <c r="C16" s="695" t="s">
        <v>370</v>
      </c>
      <c r="D16" s="695">
        <f>IF(I12=1,3000,"N/A")</f>
        <v>3000</v>
      </c>
      <c r="E16" s="695">
        <f>IF(I12=1,3000,"N/A")</f>
        <v>3000</v>
      </c>
      <c r="F16" s="695">
        <f>IF(I12=1,3000,"N/A")</f>
        <v>3000</v>
      </c>
    </row>
    <row r="17" spans="1:6" x14ac:dyDescent="0.35">
      <c r="A17" s="690" t="s">
        <v>357</v>
      </c>
      <c r="B17" s="690"/>
      <c r="C17" s="690"/>
      <c r="D17" s="690"/>
      <c r="E17" s="690"/>
      <c r="F17" s="690"/>
    </row>
    <row r="18" spans="1:6" x14ac:dyDescent="0.35">
      <c r="A18" s="686" t="s">
        <v>358</v>
      </c>
      <c r="B18" s="695">
        <v>25000</v>
      </c>
      <c r="C18" s="695">
        <v>50000</v>
      </c>
      <c r="D18" s="695">
        <v>100000</v>
      </c>
      <c r="E18" s="695">
        <v>200000</v>
      </c>
      <c r="F18" s="695">
        <v>250000</v>
      </c>
    </row>
    <row r="19" spans="1:6" x14ac:dyDescent="0.35">
      <c r="A19" s="686" t="s">
        <v>359</v>
      </c>
      <c r="B19" s="695">
        <v>25000</v>
      </c>
      <c r="C19" s="695">
        <v>25000</v>
      </c>
      <c r="D19" s="695">
        <v>50000</v>
      </c>
      <c r="E19" s="695">
        <v>50000</v>
      </c>
      <c r="F19" s="695">
        <v>50000</v>
      </c>
    </row>
    <row r="20" spans="1:6" x14ac:dyDescent="0.35">
      <c r="A20" s="686" t="s">
        <v>360</v>
      </c>
      <c r="B20" s="695" t="s">
        <v>370</v>
      </c>
      <c r="C20" s="695" t="s">
        <v>370</v>
      </c>
      <c r="D20" s="695">
        <v>5000</v>
      </c>
      <c r="E20" s="695">
        <v>10000</v>
      </c>
      <c r="F20" s="695">
        <v>15000</v>
      </c>
    </row>
    <row r="21" spans="1:6" x14ac:dyDescent="0.35">
      <c r="A21" s="686" t="s">
        <v>361</v>
      </c>
      <c r="B21" s="695">
        <f>IF(I12=1,200,"N/A")</f>
        <v>200</v>
      </c>
      <c r="C21" s="695">
        <f>IF(I12=1,200,"N/A")</f>
        <v>200</v>
      </c>
      <c r="D21" s="695">
        <f>IF(I12=1,250,"N/A")</f>
        <v>250</v>
      </c>
      <c r="E21" s="695">
        <f>IF(I12=1,300,"N/A")</f>
        <v>300</v>
      </c>
      <c r="F21" s="695">
        <f>IF(I12=1,400,"N/A")</f>
        <v>400</v>
      </c>
    </row>
    <row r="22" spans="1:6" x14ac:dyDescent="0.35">
      <c r="A22" s="686" t="s">
        <v>362</v>
      </c>
      <c r="B22" s="695">
        <f>IF(I12=1,10000,"N/A")</f>
        <v>10000</v>
      </c>
      <c r="C22" s="695">
        <f>IF(I12=1,10000,"N/A")</f>
        <v>10000</v>
      </c>
      <c r="D22" s="695">
        <f>IF(I12=1,10000,"N/A")</f>
        <v>10000</v>
      </c>
      <c r="E22" s="695">
        <f>IF(I12=1,15000,"N/A")</f>
        <v>15000</v>
      </c>
      <c r="F22" s="695">
        <f>IF(I12=1,15000,"N/A")</f>
        <v>15000</v>
      </c>
    </row>
    <row r="23" spans="1:6" x14ac:dyDescent="0.35">
      <c r="A23" s="686" t="s">
        <v>363</v>
      </c>
      <c r="B23" s="695">
        <v>10000</v>
      </c>
      <c r="C23" s="695">
        <v>10000</v>
      </c>
      <c r="D23" s="695">
        <v>10000</v>
      </c>
      <c r="E23" s="695">
        <v>15000</v>
      </c>
      <c r="F23" s="695">
        <v>15000</v>
      </c>
    </row>
    <row r="24" spans="1:6" x14ac:dyDescent="0.35">
      <c r="A24" s="686" t="s">
        <v>364</v>
      </c>
      <c r="B24" s="695">
        <v>500</v>
      </c>
      <c r="C24" s="695">
        <v>500</v>
      </c>
      <c r="D24" s="695">
        <v>500</v>
      </c>
      <c r="E24" s="695">
        <v>600</v>
      </c>
      <c r="F24" s="695">
        <v>600</v>
      </c>
    </row>
    <row r="25" spans="1:6" x14ac:dyDescent="0.35">
      <c r="A25" s="686" t="s">
        <v>386</v>
      </c>
      <c r="B25" s="695">
        <v>300</v>
      </c>
      <c r="C25" s="695">
        <v>300</v>
      </c>
      <c r="D25" s="695">
        <v>500</v>
      </c>
      <c r="E25" s="695">
        <v>500</v>
      </c>
      <c r="F25" s="695">
        <v>500</v>
      </c>
    </row>
    <row r="26" spans="1:6" x14ac:dyDescent="0.35">
      <c r="A26" s="686" t="s">
        <v>365</v>
      </c>
      <c r="B26" s="677" t="s">
        <v>366</v>
      </c>
      <c r="C26" s="677"/>
      <c r="D26" s="677"/>
    </row>
    <row r="27" spans="1:6" x14ac:dyDescent="0.35">
      <c r="A27" s="686" t="s">
        <v>367</v>
      </c>
      <c r="B27" s="677"/>
      <c r="C27" s="677"/>
      <c r="D27" s="677"/>
    </row>
    <row r="29" spans="1:6" x14ac:dyDescent="0.35">
      <c r="A29" s="686" t="s">
        <v>389</v>
      </c>
      <c r="B29" t="str">
        <f ca="1">IF(COTIZADOR!D16&gt;=55, "5. Exámenes después de los 55 años: EM, Electrocardiograma, Glucosa, Colesterol, Trigliceridos, Creatinina y Análisis de Orina.", IF(COTIZADOR!D36&gt;=55,"5. Exámenes después de los 55 años: EM, Electrocardiograma, Glucosa, Colesterol, Trigliceridos, Creatinina y Análisis de Orina.",""))</f>
        <v>5. Exámenes después de los 55 años: EM, Electrocardiograma, Glucosa, Colesterol, Trigliceridos, Creatinina y Análisis de Orina.</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G76"/>
  <sheetViews>
    <sheetView workbookViewId="0">
      <selection activeCell="J29" sqref="J1:N1048576"/>
    </sheetView>
  </sheetViews>
  <sheetFormatPr baseColWidth="10" defaultColWidth="11.453125" defaultRowHeight="14.5" x14ac:dyDescent="0.35"/>
  <cols>
    <col min="1" max="2" width="11.453125" style="644"/>
    <col min="3" max="3" width="18.453125" style="644" customWidth="1"/>
    <col min="4" max="4" width="21.1796875" style="644" customWidth="1"/>
    <col min="5" max="5" width="21" style="644" customWidth="1"/>
    <col min="6" max="6" width="19.26953125" style="644" customWidth="1"/>
    <col min="7" max="7" width="21.1796875" style="644" customWidth="1"/>
    <col min="8" max="16384" width="11.453125" style="644"/>
  </cols>
  <sheetData>
    <row r="2" spans="2:7" x14ac:dyDescent="0.35">
      <c r="G2" s="644" t="s">
        <v>282</v>
      </c>
    </row>
    <row r="3" spans="2:7" x14ac:dyDescent="0.35">
      <c r="B3" s="763" t="s">
        <v>283</v>
      </c>
      <c r="C3" s="763"/>
      <c r="D3" s="763"/>
      <c r="E3" s="763"/>
      <c r="F3" s="763"/>
      <c r="G3" s="763"/>
    </row>
    <row r="4" spans="2:7" x14ac:dyDescent="0.35">
      <c r="B4" s="763" t="s">
        <v>285</v>
      </c>
      <c r="C4" s="763"/>
      <c r="D4" s="763"/>
      <c r="E4" s="763"/>
      <c r="F4" s="763"/>
      <c r="G4" s="763"/>
    </row>
    <row r="7" spans="2:7" x14ac:dyDescent="0.35">
      <c r="B7" s="764" t="s">
        <v>269</v>
      </c>
      <c r="C7" s="765"/>
      <c r="D7" s="765"/>
      <c r="E7" s="765"/>
      <c r="F7" s="765"/>
      <c r="G7" s="765"/>
    </row>
    <row r="8" spans="2:7" ht="14.5" customHeight="1" x14ac:dyDescent="0.35">
      <c r="B8" s="766" t="s">
        <v>270</v>
      </c>
      <c r="C8" s="769" t="s">
        <v>245</v>
      </c>
      <c r="D8" s="770"/>
      <c r="E8" s="770"/>
      <c r="F8" s="770"/>
      <c r="G8" s="770"/>
    </row>
    <row r="9" spans="2:7" ht="14.5" customHeight="1" x14ac:dyDescent="0.35">
      <c r="B9" s="767"/>
      <c r="C9" s="766" t="s">
        <v>271</v>
      </c>
      <c r="D9" s="771" t="s">
        <v>272</v>
      </c>
      <c r="E9" s="771" t="s">
        <v>273</v>
      </c>
      <c r="F9" s="771" t="s">
        <v>274</v>
      </c>
      <c r="G9" s="771" t="s">
        <v>275</v>
      </c>
    </row>
    <row r="10" spans="2:7" x14ac:dyDescent="0.35">
      <c r="B10" s="768"/>
      <c r="C10" s="768"/>
      <c r="D10" s="772"/>
      <c r="E10" s="772"/>
      <c r="F10" s="772"/>
      <c r="G10" s="772"/>
    </row>
    <row r="11" spans="2:7" ht="18.5" x14ac:dyDescent="0.45">
      <c r="B11" s="645">
        <v>0</v>
      </c>
      <c r="C11" s="670">
        <f>+'[1]COTIZACIONES MERCADO'!$B$21*1.1</f>
        <v>2.2869000000000001E-3</v>
      </c>
      <c r="D11" s="670">
        <f>+'[1]COTIZACIONES MERCADO'!$C$21*1.1</f>
        <v>1.4278000000000003E-3</v>
      </c>
      <c r="E11" s="670">
        <f>+'[1]COTIZACIONES MERCADO'!$D$21*1.1</f>
        <v>6.9937999999999999E-4</v>
      </c>
      <c r="F11" s="670">
        <f>+'[1]COTIZACIONES MERCADO'!$E$21*1.1</f>
        <v>5.5902000000000013E-4</v>
      </c>
      <c r="G11" s="670">
        <f>+'[1]COTIZACIONES MERCADO'!$F$21*1.1</f>
        <v>3.8175500000000012E-4</v>
      </c>
    </row>
    <row r="12" spans="2:7" ht="18.5" x14ac:dyDescent="0.45">
      <c r="B12" s="645">
        <v>1</v>
      </c>
      <c r="C12" s="670">
        <f>+'[1]COTIZACIONES MERCADO'!$B$21*1.1</f>
        <v>2.2869000000000001E-3</v>
      </c>
      <c r="D12" s="670">
        <f>+'[1]COTIZACIONES MERCADO'!$C$21*1.1</f>
        <v>1.4278000000000003E-3</v>
      </c>
      <c r="E12" s="670">
        <f>+'[1]COTIZACIONES MERCADO'!$D$21*1.1</f>
        <v>6.9937999999999999E-4</v>
      </c>
      <c r="F12" s="670">
        <f>+'[1]COTIZACIONES MERCADO'!$E$21*1.1</f>
        <v>5.5902000000000013E-4</v>
      </c>
      <c r="G12" s="670">
        <f>+'[1]COTIZACIONES MERCADO'!$F$21*1.1</f>
        <v>3.8175500000000012E-4</v>
      </c>
    </row>
    <row r="13" spans="2:7" ht="18.5" x14ac:dyDescent="0.45">
      <c r="B13" s="645">
        <v>2</v>
      </c>
      <c r="C13" s="670">
        <f>+'[1]COTIZACIONES MERCADO'!$B$21*1.1</f>
        <v>2.2869000000000001E-3</v>
      </c>
      <c r="D13" s="670">
        <f>+'[1]COTIZACIONES MERCADO'!$C$21*1.1</f>
        <v>1.4278000000000003E-3</v>
      </c>
      <c r="E13" s="670">
        <f>+'[1]COTIZACIONES MERCADO'!$D$21*1.1</f>
        <v>6.9937999999999999E-4</v>
      </c>
      <c r="F13" s="670">
        <f>+'[1]COTIZACIONES MERCADO'!$E$21*1.1</f>
        <v>5.5902000000000013E-4</v>
      </c>
      <c r="G13" s="670">
        <f>+'[1]COTIZACIONES MERCADO'!$F$21*1.1</f>
        <v>3.8175500000000012E-4</v>
      </c>
    </row>
    <row r="14" spans="2:7" ht="18.5" x14ac:dyDescent="0.45">
      <c r="B14" s="645">
        <v>3</v>
      </c>
      <c r="C14" s="670">
        <f>+'[1]COTIZACIONES MERCADO'!$B$21*1.1</f>
        <v>2.2869000000000001E-3</v>
      </c>
      <c r="D14" s="670">
        <f>+'[1]COTIZACIONES MERCADO'!$C$21*1.1</f>
        <v>1.4278000000000003E-3</v>
      </c>
      <c r="E14" s="670">
        <f>+'[1]COTIZACIONES MERCADO'!$D$21*1.1</f>
        <v>6.9937999999999999E-4</v>
      </c>
      <c r="F14" s="670">
        <f>+'[1]COTIZACIONES MERCADO'!$E$21*1.1</f>
        <v>5.5902000000000013E-4</v>
      </c>
      <c r="G14" s="670">
        <f>+'[1]COTIZACIONES MERCADO'!$F$21*1.1</f>
        <v>3.8175500000000012E-4</v>
      </c>
    </row>
    <row r="15" spans="2:7" ht="18.5" x14ac:dyDescent="0.45">
      <c r="B15" s="645">
        <v>4</v>
      </c>
      <c r="C15" s="670">
        <f>+'[1]COTIZACIONES MERCADO'!$B$21*1.1</f>
        <v>2.2869000000000001E-3</v>
      </c>
      <c r="D15" s="670">
        <f>+'[1]COTIZACIONES MERCADO'!$C$21*1.1</f>
        <v>1.4278000000000003E-3</v>
      </c>
      <c r="E15" s="670">
        <f>+'[1]COTIZACIONES MERCADO'!$D$21*1.1</f>
        <v>6.9937999999999999E-4</v>
      </c>
      <c r="F15" s="670">
        <f>+'[1]COTIZACIONES MERCADO'!$E$21*1.1</f>
        <v>5.5902000000000013E-4</v>
      </c>
      <c r="G15" s="670">
        <f>+'[1]COTIZACIONES MERCADO'!$F$21*1.1</f>
        <v>3.8175500000000012E-4</v>
      </c>
    </row>
    <row r="16" spans="2:7" ht="18.5" x14ac:dyDescent="0.45">
      <c r="B16" s="645">
        <v>5</v>
      </c>
      <c r="C16" s="670">
        <f>+'[1]COTIZACIONES MERCADO'!$B$21*1.1</f>
        <v>2.2869000000000001E-3</v>
      </c>
      <c r="D16" s="670">
        <f>+'[1]COTIZACIONES MERCADO'!$C$21*1.1</f>
        <v>1.4278000000000003E-3</v>
      </c>
      <c r="E16" s="670">
        <f>+'[1]COTIZACIONES MERCADO'!$D$21*1.1</f>
        <v>6.9937999999999999E-4</v>
      </c>
      <c r="F16" s="670">
        <f>+'[1]COTIZACIONES MERCADO'!$E$21*1.1</f>
        <v>5.5902000000000013E-4</v>
      </c>
      <c r="G16" s="670">
        <f>+'[1]COTIZACIONES MERCADO'!$F$21*1.1</f>
        <v>3.8175500000000012E-4</v>
      </c>
    </row>
    <row r="17" spans="2:7" ht="18.5" x14ac:dyDescent="0.45">
      <c r="B17" s="645">
        <v>6</v>
      </c>
      <c r="C17" s="670">
        <f>+'[1]COTIZACIONES MERCADO'!$B$21*1.1</f>
        <v>2.2869000000000001E-3</v>
      </c>
      <c r="D17" s="670">
        <f>+'[1]COTIZACIONES MERCADO'!$C$21*1.1</f>
        <v>1.4278000000000003E-3</v>
      </c>
      <c r="E17" s="670">
        <f>+'[1]COTIZACIONES MERCADO'!$D$21*1.1</f>
        <v>6.9937999999999999E-4</v>
      </c>
      <c r="F17" s="670">
        <f>+'[1]COTIZACIONES MERCADO'!$E$21*1.1</f>
        <v>5.5902000000000013E-4</v>
      </c>
      <c r="G17" s="670">
        <f>+'[1]COTIZACIONES MERCADO'!$F$21*1.1</f>
        <v>3.8175500000000012E-4</v>
      </c>
    </row>
    <row r="18" spans="2:7" ht="18.5" x14ac:dyDescent="0.45">
      <c r="B18" s="645">
        <v>7</v>
      </c>
      <c r="C18" s="670">
        <f>+'[1]COTIZACIONES MERCADO'!$B$21*1.1</f>
        <v>2.2869000000000001E-3</v>
      </c>
      <c r="D18" s="670">
        <f>+'[1]COTIZACIONES MERCADO'!$C$21*1.1</f>
        <v>1.4278000000000003E-3</v>
      </c>
      <c r="E18" s="670">
        <f>+'[1]COTIZACIONES MERCADO'!$D$21*1.1</f>
        <v>6.9937999999999999E-4</v>
      </c>
      <c r="F18" s="670">
        <f>+'[1]COTIZACIONES MERCADO'!$E$21*1.1</f>
        <v>5.5902000000000013E-4</v>
      </c>
      <c r="G18" s="670">
        <f>+'[1]COTIZACIONES MERCADO'!$F$21*1.1</f>
        <v>3.8175500000000012E-4</v>
      </c>
    </row>
    <row r="19" spans="2:7" ht="18.5" x14ac:dyDescent="0.45">
      <c r="B19" s="645">
        <v>8</v>
      </c>
      <c r="C19" s="670">
        <f>+'[1]COTIZACIONES MERCADO'!$B$21*1.1</f>
        <v>2.2869000000000001E-3</v>
      </c>
      <c r="D19" s="670">
        <f>+'[1]COTIZACIONES MERCADO'!$C$21*1.1</f>
        <v>1.4278000000000003E-3</v>
      </c>
      <c r="E19" s="670">
        <f>+'[1]COTIZACIONES MERCADO'!$D$21*1.1</f>
        <v>6.9937999999999999E-4</v>
      </c>
      <c r="F19" s="670">
        <f>+'[1]COTIZACIONES MERCADO'!$E$21*1.1</f>
        <v>5.5902000000000013E-4</v>
      </c>
      <c r="G19" s="670">
        <f>+'[1]COTIZACIONES MERCADO'!$F$21*1.1</f>
        <v>3.8175500000000012E-4</v>
      </c>
    </row>
    <row r="20" spans="2:7" ht="18.5" x14ac:dyDescent="0.45">
      <c r="B20" s="645">
        <v>9</v>
      </c>
      <c r="C20" s="670">
        <f>+'[1]COTIZACIONES MERCADO'!$B$21*1.1</f>
        <v>2.2869000000000001E-3</v>
      </c>
      <c r="D20" s="670">
        <f>+'[1]COTIZACIONES MERCADO'!$C$21*1.1</f>
        <v>1.4278000000000003E-3</v>
      </c>
      <c r="E20" s="670">
        <f>+'[1]COTIZACIONES MERCADO'!$D$21*1.1</f>
        <v>6.9937999999999999E-4</v>
      </c>
      <c r="F20" s="670">
        <f>+'[1]COTIZACIONES MERCADO'!$E$21*1.1</f>
        <v>5.5902000000000013E-4</v>
      </c>
      <c r="G20" s="670">
        <f>+'[1]COTIZACIONES MERCADO'!$F$21*1.1</f>
        <v>3.8175500000000012E-4</v>
      </c>
    </row>
    <row r="21" spans="2:7" ht="18.5" x14ac:dyDescent="0.45">
      <c r="B21" s="645">
        <v>10</v>
      </c>
      <c r="C21" s="670">
        <f>+'[1]COTIZACIONES MERCADO'!$B$21*1.1</f>
        <v>2.2869000000000001E-3</v>
      </c>
      <c r="D21" s="670">
        <f>+'[1]COTIZACIONES MERCADO'!$C$21*1.1</f>
        <v>1.4278000000000003E-3</v>
      </c>
      <c r="E21" s="670">
        <f>+'[1]COTIZACIONES MERCADO'!$D$21*1.1</f>
        <v>6.9937999999999999E-4</v>
      </c>
      <c r="F21" s="670">
        <f>+'[1]COTIZACIONES MERCADO'!$E$21*1.1</f>
        <v>5.5902000000000013E-4</v>
      </c>
      <c r="G21" s="670">
        <f>+'[1]COTIZACIONES MERCADO'!$F$21*1.1</f>
        <v>3.8175500000000012E-4</v>
      </c>
    </row>
    <row r="22" spans="2:7" ht="12.75" customHeight="1" x14ac:dyDescent="0.45">
      <c r="B22" s="645">
        <v>11</v>
      </c>
      <c r="C22" s="670">
        <f>+'[1]COTIZACIONES MERCADO'!$B$21*1.1</f>
        <v>2.2869000000000001E-3</v>
      </c>
      <c r="D22" s="670">
        <f>+'[1]COTIZACIONES MERCADO'!$C$21*1.1</f>
        <v>1.4278000000000003E-3</v>
      </c>
      <c r="E22" s="670">
        <f>+'[1]COTIZACIONES MERCADO'!$D$21*1.1</f>
        <v>6.9937999999999999E-4</v>
      </c>
      <c r="F22" s="670">
        <f>+'[1]COTIZACIONES MERCADO'!$E$21*1.1</f>
        <v>5.5902000000000013E-4</v>
      </c>
      <c r="G22" s="670">
        <f>+'[1]COTIZACIONES MERCADO'!$F$21*1.1</f>
        <v>3.8175500000000012E-4</v>
      </c>
    </row>
    <row r="23" spans="2:7" ht="12.75" customHeight="1" x14ac:dyDescent="0.45">
      <c r="B23" s="645">
        <v>12</v>
      </c>
      <c r="C23" s="670">
        <f>+'[1]COTIZACIONES MERCADO'!$B$21*1.1</f>
        <v>2.2869000000000001E-3</v>
      </c>
      <c r="D23" s="670">
        <f>+'[1]COTIZACIONES MERCADO'!$C$21*1.1</f>
        <v>1.4278000000000003E-3</v>
      </c>
      <c r="E23" s="670">
        <f>+'[1]COTIZACIONES MERCADO'!$D$21*1.1</f>
        <v>6.9937999999999999E-4</v>
      </c>
      <c r="F23" s="670">
        <f>+'[1]COTIZACIONES MERCADO'!$E$21*1.1</f>
        <v>5.5902000000000013E-4</v>
      </c>
      <c r="G23" s="670">
        <f>+'[1]COTIZACIONES MERCADO'!$F$21*1.1</f>
        <v>3.8175500000000012E-4</v>
      </c>
    </row>
    <row r="24" spans="2:7" ht="12.75" customHeight="1" x14ac:dyDescent="0.45">
      <c r="B24" s="645">
        <v>13</v>
      </c>
      <c r="C24" s="670">
        <f>+'[1]COTIZACIONES MERCADO'!$B$21*1.1</f>
        <v>2.2869000000000001E-3</v>
      </c>
      <c r="D24" s="670">
        <f>+'[1]COTIZACIONES MERCADO'!$C$21*1.1</f>
        <v>1.4278000000000003E-3</v>
      </c>
      <c r="E24" s="670">
        <f>+'[1]COTIZACIONES MERCADO'!$D$21*1.1</f>
        <v>6.9937999999999999E-4</v>
      </c>
      <c r="F24" s="670">
        <f>+'[1]COTIZACIONES MERCADO'!$E$21*1.1</f>
        <v>5.5902000000000013E-4</v>
      </c>
      <c r="G24" s="670">
        <f>+'[1]COTIZACIONES MERCADO'!$F$21*1.1</f>
        <v>3.8175500000000012E-4</v>
      </c>
    </row>
    <row r="25" spans="2:7" ht="12.75" customHeight="1" x14ac:dyDescent="0.45">
      <c r="B25" s="645">
        <v>14</v>
      </c>
      <c r="C25" s="670">
        <f>+'[1]COTIZACIONES MERCADO'!$B$21*1.1</f>
        <v>2.2869000000000001E-3</v>
      </c>
      <c r="D25" s="670">
        <f>+'[1]COTIZACIONES MERCADO'!$C$21*1.1</f>
        <v>1.4278000000000003E-3</v>
      </c>
      <c r="E25" s="670">
        <f>+'[1]COTIZACIONES MERCADO'!$D$21*1.1</f>
        <v>6.9937999999999999E-4</v>
      </c>
      <c r="F25" s="670">
        <f>+'[1]COTIZACIONES MERCADO'!$E$21*1.1</f>
        <v>5.5902000000000013E-4</v>
      </c>
      <c r="G25" s="670">
        <f>+'[1]COTIZACIONES MERCADO'!$F$21*1.1</f>
        <v>3.8175500000000012E-4</v>
      </c>
    </row>
    <row r="26" spans="2:7" ht="12.75" customHeight="1" x14ac:dyDescent="0.45">
      <c r="B26" s="645">
        <v>15</v>
      </c>
      <c r="C26" s="670">
        <f>+'[1]COTIZACIONES MERCADO'!$B$21*1.1</f>
        <v>2.2869000000000001E-3</v>
      </c>
      <c r="D26" s="670">
        <f>+'[1]COTIZACIONES MERCADO'!$C$21*1.1</f>
        <v>1.4278000000000003E-3</v>
      </c>
      <c r="E26" s="670">
        <f>+'[1]COTIZACIONES MERCADO'!$D$21*1.1</f>
        <v>6.9937999999999999E-4</v>
      </c>
      <c r="F26" s="670">
        <f>+'[1]COTIZACIONES MERCADO'!$E$21*1.1</f>
        <v>5.5902000000000013E-4</v>
      </c>
      <c r="G26" s="670">
        <f>+'[1]COTIZACIONES MERCADO'!$F$21*1.1</f>
        <v>3.8175500000000012E-4</v>
      </c>
    </row>
    <row r="27" spans="2:7" ht="12.75" customHeight="1" x14ac:dyDescent="0.45">
      <c r="B27" s="645">
        <v>16</v>
      </c>
      <c r="C27" s="670">
        <f>+'[1]COTIZACIONES MERCADO'!$B$21*1.1</f>
        <v>2.2869000000000001E-3</v>
      </c>
      <c r="D27" s="670">
        <f>+'[1]COTIZACIONES MERCADO'!$C$21*1.1</f>
        <v>1.4278000000000003E-3</v>
      </c>
      <c r="E27" s="670">
        <f>+'[1]COTIZACIONES MERCADO'!$D$21*1.1</f>
        <v>6.9937999999999999E-4</v>
      </c>
      <c r="F27" s="670">
        <f>+'[1]COTIZACIONES MERCADO'!$E$21*1.1</f>
        <v>5.5902000000000013E-4</v>
      </c>
      <c r="G27" s="670">
        <f>+'[1]COTIZACIONES MERCADO'!$F$21*1.1</f>
        <v>3.8175500000000012E-4</v>
      </c>
    </row>
    <row r="28" spans="2:7" ht="12.75" customHeight="1" x14ac:dyDescent="0.45">
      <c r="B28" s="645">
        <v>17</v>
      </c>
      <c r="C28" s="670">
        <f>+'[1]COTIZACIONES MERCADO'!$B$21*1.1</f>
        <v>2.2869000000000001E-3</v>
      </c>
      <c r="D28" s="670">
        <f>+'[1]COTIZACIONES MERCADO'!$C$21*1.1</f>
        <v>1.4278000000000003E-3</v>
      </c>
      <c r="E28" s="670">
        <f>+'[1]COTIZACIONES MERCADO'!$D$21*1.1</f>
        <v>6.9937999999999999E-4</v>
      </c>
      <c r="F28" s="670">
        <f>+'[1]COTIZACIONES MERCADO'!$E$21*1.1</f>
        <v>5.5902000000000013E-4</v>
      </c>
      <c r="G28" s="670">
        <f>+'[1]COTIZACIONES MERCADO'!$F$21*1.1</f>
        <v>3.8175500000000012E-4</v>
      </c>
    </row>
    <row r="29" spans="2:7" ht="18.5" x14ac:dyDescent="0.45">
      <c r="B29" s="645">
        <v>18</v>
      </c>
      <c r="C29" s="670">
        <f>+'[1]COTIZACIONES MERCADO'!$B$21*1.1</f>
        <v>2.2869000000000001E-3</v>
      </c>
      <c r="D29" s="670">
        <f>+'[1]COTIZACIONES MERCADO'!$C$21*1.1</f>
        <v>1.4278000000000003E-3</v>
      </c>
      <c r="E29" s="670">
        <f>+'[1]COTIZACIONES MERCADO'!$D$21*1.1</f>
        <v>6.9937999999999999E-4</v>
      </c>
      <c r="F29" s="670">
        <f>+'[1]COTIZACIONES MERCADO'!$E$21*1.1</f>
        <v>5.5902000000000013E-4</v>
      </c>
      <c r="G29" s="670">
        <f>+'[1]COTIZACIONES MERCADO'!$F$21*1.1</f>
        <v>3.8175500000000012E-4</v>
      </c>
    </row>
    <row r="30" spans="2:7" ht="18.5" x14ac:dyDescent="0.45">
      <c r="B30" s="645">
        <f t="shared" ref="B30:B76" si="0">+B29+1</f>
        <v>19</v>
      </c>
      <c r="C30" s="670">
        <f>+'[1]COTIZACIONES MERCADO'!$B$21*1.1</f>
        <v>2.2869000000000001E-3</v>
      </c>
      <c r="D30" s="670">
        <f>+'[1]COTIZACIONES MERCADO'!$C$21*1.1</f>
        <v>1.4278000000000003E-3</v>
      </c>
      <c r="E30" s="670">
        <f>+'[1]COTIZACIONES MERCADO'!$D$21*1.1</f>
        <v>6.9937999999999999E-4</v>
      </c>
      <c r="F30" s="670">
        <f>+'[1]COTIZACIONES MERCADO'!$E$21*1.1</f>
        <v>5.5902000000000013E-4</v>
      </c>
      <c r="G30" s="670">
        <f>+'[1]COTIZACIONES MERCADO'!$F$21*1.1</f>
        <v>3.8175500000000012E-4</v>
      </c>
    </row>
    <row r="31" spans="2:7" ht="18.5" x14ac:dyDescent="0.45">
      <c r="B31" s="645">
        <f t="shared" si="0"/>
        <v>20</v>
      </c>
      <c r="C31" s="670">
        <f>+'[1]COTIZACIONES MERCADO'!$B$21*1.1</f>
        <v>2.2869000000000001E-3</v>
      </c>
      <c r="D31" s="670">
        <f>+'[1]COTIZACIONES MERCADO'!$C$21*1.1</f>
        <v>1.4278000000000003E-3</v>
      </c>
      <c r="E31" s="670">
        <f>+'[1]COTIZACIONES MERCADO'!$D$21*1.1</f>
        <v>6.9937999999999999E-4</v>
      </c>
      <c r="F31" s="670">
        <f>+'[1]COTIZACIONES MERCADO'!$E$21*1.1</f>
        <v>5.5902000000000013E-4</v>
      </c>
      <c r="G31" s="670">
        <f>+'[1]COTIZACIONES MERCADO'!$F$21*1.1</f>
        <v>3.8175500000000012E-4</v>
      </c>
    </row>
    <row r="32" spans="2:7" ht="18.5" x14ac:dyDescent="0.45">
      <c r="B32" s="645">
        <f t="shared" si="0"/>
        <v>21</v>
      </c>
      <c r="C32" s="670">
        <f>+'[1]COTIZACIONES MERCADO'!$B$21*1.1</f>
        <v>2.2869000000000001E-3</v>
      </c>
      <c r="D32" s="670">
        <f>+'[1]COTIZACIONES MERCADO'!$C$21*1.1</f>
        <v>1.4278000000000003E-3</v>
      </c>
      <c r="E32" s="670">
        <f>+'[1]COTIZACIONES MERCADO'!$D$21*1.1</f>
        <v>6.9937999999999999E-4</v>
      </c>
      <c r="F32" s="670">
        <f>+'[1]COTIZACIONES MERCADO'!$E$21*1.1</f>
        <v>5.5902000000000013E-4</v>
      </c>
      <c r="G32" s="670">
        <f>+'[1]COTIZACIONES MERCADO'!$F$21*1.1</f>
        <v>3.8175500000000012E-4</v>
      </c>
    </row>
    <row r="33" spans="1:7" ht="18.5" x14ac:dyDescent="0.45">
      <c r="B33" s="645">
        <f t="shared" si="0"/>
        <v>22</v>
      </c>
      <c r="C33" s="670">
        <f>+'[1]COTIZACIONES MERCADO'!$B$21*1.1</f>
        <v>2.2869000000000001E-3</v>
      </c>
      <c r="D33" s="670">
        <f>+'[1]COTIZACIONES MERCADO'!$C$21*1.1</f>
        <v>1.4278000000000003E-3</v>
      </c>
      <c r="E33" s="670">
        <f>+'[1]COTIZACIONES MERCADO'!$D$21*1.1</f>
        <v>6.9937999999999999E-4</v>
      </c>
      <c r="F33" s="670">
        <f>+'[1]COTIZACIONES MERCADO'!$E$21*1.1</f>
        <v>5.5902000000000013E-4</v>
      </c>
      <c r="G33" s="670">
        <f>+'[1]COTIZACIONES MERCADO'!$F$21*1.1</f>
        <v>3.8175500000000012E-4</v>
      </c>
    </row>
    <row r="34" spans="1:7" ht="18.5" x14ac:dyDescent="0.45">
      <c r="B34" s="645">
        <f t="shared" si="0"/>
        <v>23</v>
      </c>
      <c r="C34" s="670">
        <f>+'[1]COTIZACIONES MERCADO'!$B$21*1.1</f>
        <v>2.2869000000000001E-3</v>
      </c>
      <c r="D34" s="670">
        <f>+'[1]COTIZACIONES MERCADO'!$C$21*1.1</f>
        <v>1.4278000000000003E-3</v>
      </c>
      <c r="E34" s="670">
        <f>+'[1]COTIZACIONES MERCADO'!$D$21*1.1</f>
        <v>6.9937999999999999E-4</v>
      </c>
      <c r="F34" s="670">
        <f>+'[1]COTIZACIONES MERCADO'!$E$21*1.1</f>
        <v>5.5902000000000013E-4</v>
      </c>
      <c r="G34" s="670">
        <f>+'[1]COTIZACIONES MERCADO'!$F$21*1.1</f>
        <v>3.8175500000000012E-4</v>
      </c>
    </row>
    <row r="35" spans="1:7" ht="18.5" x14ac:dyDescent="0.45">
      <c r="B35" s="645">
        <f t="shared" si="0"/>
        <v>24</v>
      </c>
      <c r="C35" s="670">
        <f>+'[1]COTIZACIONES MERCADO'!$B$21*1.1</f>
        <v>2.2869000000000001E-3</v>
      </c>
      <c r="D35" s="670">
        <f>+'[1]COTIZACIONES MERCADO'!$C$21*1.1</f>
        <v>1.4278000000000003E-3</v>
      </c>
      <c r="E35" s="670">
        <f>+'[1]COTIZACIONES MERCADO'!$D$21*1.1</f>
        <v>6.9937999999999999E-4</v>
      </c>
      <c r="F35" s="670">
        <f>+'[1]COTIZACIONES MERCADO'!$E$21*1.1</f>
        <v>5.5902000000000013E-4</v>
      </c>
      <c r="G35" s="670">
        <f>+'[1]COTIZACIONES MERCADO'!$F$21*1.1</f>
        <v>3.8175500000000012E-4</v>
      </c>
    </row>
    <row r="36" spans="1:7" ht="18.5" x14ac:dyDescent="0.45">
      <c r="B36" s="645">
        <f t="shared" si="0"/>
        <v>25</v>
      </c>
      <c r="C36" s="670">
        <f>+'[1]COTIZACIONES MERCADO'!$B$21*1.1</f>
        <v>2.2869000000000001E-3</v>
      </c>
      <c r="D36" s="670">
        <f>+'[1]COTIZACIONES MERCADO'!$C$21*1.1</f>
        <v>1.4278000000000003E-3</v>
      </c>
      <c r="E36" s="670">
        <f>+'[1]COTIZACIONES MERCADO'!$D$21*1.1</f>
        <v>6.9937999999999999E-4</v>
      </c>
      <c r="F36" s="670">
        <f>+'[1]COTIZACIONES MERCADO'!$E$21*1.1</f>
        <v>5.5902000000000013E-4</v>
      </c>
      <c r="G36" s="670">
        <f>+'[1]COTIZACIONES MERCADO'!$F$21*1.1</f>
        <v>3.8175500000000012E-4</v>
      </c>
    </row>
    <row r="37" spans="1:7" ht="18.5" x14ac:dyDescent="0.45">
      <c r="B37" s="645">
        <f t="shared" si="0"/>
        <v>26</v>
      </c>
      <c r="C37" s="670">
        <f>+'[1]COTIZACIONES MERCADO'!$B$21*1.1</f>
        <v>2.2869000000000001E-3</v>
      </c>
      <c r="D37" s="670">
        <f>+'[1]COTIZACIONES MERCADO'!$C$21*1.1</f>
        <v>1.4278000000000003E-3</v>
      </c>
      <c r="E37" s="670">
        <f>+'[1]COTIZACIONES MERCADO'!$D$21*1.1</f>
        <v>6.9937999999999999E-4</v>
      </c>
      <c r="F37" s="670">
        <f>+'[1]COTIZACIONES MERCADO'!$E$21*1.1</f>
        <v>5.5902000000000013E-4</v>
      </c>
      <c r="G37" s="670">
        <f>+'[1]COTIZACIONES MERCADO'!$F$21*1.1</f>
        <v>3.8175500000000012E-4</v>
      </c>
    </row>
    <row r="38" spans="1:7" ht="18.5" x14ac:dyDescent="0.45">
      <c r="A38" s="673">
        <f ca="1">+'ANEXO No.1'!A38*1.15</f>
        <v>2.5212599999999996E-3</v>
      </c>
      <c r="B38" s="645">
        <f t="shared" si="0"/>
        <v>27</v>
      </c>
      <c r="C38" s="670">
        <f>+'[1]COTIZACIONES MERCADO'!$B$21*1.1</f>
        <v>2.2869000000000001E-3</v>
      </c>
      <c r="D38" s="670">
        <f>+'[1]COTIZACIONES MERCADO'!$C$21*1.1</f>
        <v>1.4278000000000003E-3</v>
      </c>
      <c r="E38" s="670">
        <f>+'[1]COTIZACIONES MERCADO'!$D$21*1.1</f>
        <v>6.9937999999999999E-4</v>
      </c>
      <c r="F38" s="670">
        <f>+'[1]COTIZACIONES MERCADO'!$E$21*1.1</f>
        <v>5.5902000000000013E-4</v>
      </c>
      <c r="G38" s="670">
        <f>+'[1]COTIZACIONES MERCADO'!$F$21*1.1</f>
        <v>3.8175500000000012E-4</v>
      </c>
    </row>
    <row r="39" spans="1:7" ht="18.5" x14ac:dyDescent="0.45">
      <c r="B39" s="645">
        <f t="shared" si="0"/>
        <v>28</v>
      </c>
      <c r="C39" s="670">
        <f>+'[1]COTIZACIONES MERCADO'!$B$21*1.1</f>
        <v>2.2869000000000001E-3</v>
      </c>
      <c r="D39" s="670">
        <f>+'[1]COTIZACIONES MERCADO'!$C$21*1.1</f>
        <v>1.4278000000000003E-3</v>
      </c>
      <c r="E39" s="670">
        <f>+'[1]COTIZACIONES MERCADO'!$D$21*1.1</f>
        <v>6.9937999999999999E-4</v>
      </c>
      <c r="F39" s="670">
        <f>+'[1]COTIZACIONES MERCADO'!$E$21*1.1</f>
        <v>5.5902000000000013E-4</v>
      </c>
      <c r="G39" s="670">
        <f>+'[1]COTIZACIONES MERCADO'!$F$21*1.1</f>
        <v>3.8175500000000012E-4</v>
      </c>
    </row>
    <row r="40" spans="1:7" ht="18.5" x14ac:dyDescent="0.45">
      <c r="B40" s="645">
        <f t="shared" si="0"/>
        <v>29</v>
      </c>
      <c r="C40" s="670">
        <f>+'[1]COTIZACIONES MERCADO'!$B$21*1.1</f>
        <v>2.2869000000000001E-3</v>
      </c>
      <c r="D40" s="670">
        <f>+'[1]COTIZACIONES MERCADO'!$C$21*1.1</f>
        <v>1.4278000000000003E-3</v>
      </c>
      <c r="E40" s="670">
        <f>+'[1]COTIZACIONES MERCADO'!$D$21*1.1</f>
        <v>6.9937999999999999E-4</v>
      </c>
      <c r="F40" s="670">
        <f>+'[1]COTIZACIONES MERCADO'!$E$21*1.1</f>
        <v>5.5902000000000013E-4</v>
      </c>
      <c r="G40" s="670">
        <f>+'[1]COTIZACIONES MERCADO'!$F$21*1.1</f>
        <v>3.8175500000000012E-4</v>
      </c>
    </row>
    <row r="41" spans="1:7" ht="18.5" x14ac:dyDescent="0.45">
      <c r="B41" s="645">
        <f t="shared" si="0"/>
        <v>30</v>
      </c>
      <c r="C41" s="670">
        <f>+'[1]COTIZACIONES MERCADO'!$B$21*1.1</f>
        <v>2.2869000000000001E-3</v>
      </c>
      <c r="D41" s="670">
        <f>+'[1]COTIZACIONES MERCADO'!$C$21*1.1</f>
        <v>1.4278000000000003E-3</v>
      </c>
      <c r="E41" s="670">
        <f>+'[1]COTIZACIONES MERCADO'!$D$21*1.1</f>
        <v>6.9937999999999999E-4</v>
      </c>
      <c r="F41" s="670">
        <f>+'[1]COTIZACIONES MERCADO'!$E$21*1.1</f>
        <v>5.5902000000000013E-4</v>
      </c>
      <c r="G41" s="670">
        <f>+'[1]COTIZACIONES MERCADO'!$F$21*1.1</f>
        <v>3.8175500000000012E-4</v>
      </c>
    </row>
    <row r="42" spans="1:7" ht="18.5" x14ac:dyDescent="0.45">
      <c r="B42" s="645">
        <f t="shared" si="0"/>
        <v>31</v>
      </c>
      <c r="C42" s="670">
        <f>+C41+'[1]COTIZACIONES MERCADO'!$I$29</f>
        <v>2.3691800000000002E-3</v>
      </c>
      <c r="D42" s="670">
        <f>+D41+'[1]COTIZACIONES MERCADO'!$J$29</f>
        <v>1.4725700000000003E-3</v>
      </c>
      <c r="E42" s="670">
        <f>+E41+'[1]COTIZACIONES MERCADO'!$K$29</f>
        <v>7.2479E-4</v>
      </c>
      <c r="F42" s="670">
        <f>+F41+'[1]COTIZACIONES MERCADO'!$L$29</f>
        <v>5.7934800000000015E-4</v>
      </c>
      <c r="G42" s="670">
        <f>+G41+'[1]COTIZACIONES MERCADO'!$M$29</f>
        <v>3.9560950000000012E-4</v>
      </c>
    </row>
    <row r="43" spans="1:7" ht="18.5" x14ac:dyDescent="0.45">
      <c r="B43" s="645">
        <f t="shared" si="0"/>
        <v>32</v>
      </c>
      <c r="C43" s="670">
        <f>+C42+'[1]COTIZACIONES MERCADO'!$I$29</f>
        <v>2.4514600000000004E-3</v>
      </c>
      <c r="D43" s="670">
        <f>+D42+'[1]COTIZACIONES MERCADO'!$J$29</f>
        <v>1.5173400000000003E-3</v>
      </c>
      <c r="E43" s="670">
        <f>+E42+'[1]COTIZACIONES MERCADO'!$K$29</f>
        <v>7.5020000000000002E-4</v>
      </c>
      <c r="F43" s="670">
        <f>+F42+'[1]COTIZACIONES MERCADO'!$L$29</f>
        <v>5.9967600000000016E-4</v>
      </c>
      <c r="G43" s="670">
        <f>+G42+'[1]COTIZACIONES MERCADO'!$M$29</f>
        <v>4.0946400000000012E-4</v>
      </c>
    </row>
    <row r="44" spans="1:7" ht="18.5" x14ac:dyDescent="0.45">
      <c r="B44" s="645">
        <f t="shared" si="0"/>
        <v>33</v>
      </c>
      <c r="C44" s="670">
        <f>+C43+'[1]COTIZACIONES MERCADO'!$I$29</f>
        <v>2.5337400000000005E-3</v>
      </c>
      <c r="D44" s="670">
        <f>+D43+'[1]COTIZACIONES MERCADO'!$J$29</f>
        <v>1.5621100000000002E-3</v>
      </c>
      <c r="E44" s="670">
        <f>+E43+'[1]COTIZACIONES MERCADO'!$K$29</f>
        <v>7.7561000000000004E-4</v>
      </c>
      <c r="F44" s="670">
        <f>+F43+'[1]COTIZACIONES MERCADO'!$L$29</f>
        <v>6.2000400000000017E-4</v>
      </c>
      <c r="G44" s="670">
        <f>+G43+'[1]COTIZACIONES MERCADO'!$M$29</f>
        <v>4.2331850000000012E-4</v>
      </c>
    </row>
    <row r="45" spans="1:7" ht="18.5" x14ac:dyDescent="0.45">
      <c r="B45" s="645">
        <f t="shared" si="0"/>
        <v>34</v>
      </c>
      <c r="C45" s="670">
        <f>+C44+'[1]COTIZACIONES MERCADO'!$I$29</f>
        <v>2.6160200000000006E-3</v>
      </c>
      <c r="D45" s="670">
        <f>+D44+'[1]COTIZACIONES MERCADO'!$J$29</f>
        <v>1.6068800000000002E-3</v>
      </c>
      <c r="E45" s="670">
        <f>+E44+'[1]COTIZACIONES MERCADO'!$K$29</f>
        <v>8.0102000000000005E-4</v>
      </c>
      <c r="F45" s="670">
        <f>+F44+'[1]COTIZACIONES MERCADO'!$L$29</f>
        <v>6.4033200000000018E-4</v>
      </c>
      <c r="G45" s="670">
        <f>+G44+'[1]COTIZACIONES MERCADO'!$M$29</f>
        <v>4.3717300000000012E-4</v>
      </c>
    </row>
    <row r="46" spans="1:7" ht="18.5" x14ac:dyDescent="0.45">
      <c r="B46" s="645">
        <f t="shared" si="0"/>
        <v>35</v>
      </c>
      <c r="C46" s="670">
        <f>+C45+'[1]COTIZACIONES MERCADO'!$I$29</f>
        <v>2.6983000000000007E-3</v>
      </c>
      <c r="D46" s="670">
        <f>+D45+'[1]COTIZACIONES MERCADO'!$J$29</f>
        <v>1.6516500000000002E-3</v>
      </c>
      <c r="E46" s="670">
        <f>+E45+'[1]COTIZACIONES MERCADO'!$K$29</f>
        <v>8.2643000000000007E-4</v>
      </c>
      <c r="F46" s="670">
        <f>+F45+'[1]COTIZACIONES MERCADO'!$L$29</f>
        <v>6.606600000000002E-4</v>
      </c>
      <c r="G46" s="670">
        <f>+G45+'[1]COTIZACIONES MERCADO'!$M$29</f>
        <v>4.5102750000000012E-4</v>
      </c>
    </row>
    <row r="47" spans="1:7" ht="18.5" x14ac:dyDescent="0.45">
      <c r="B47" s="645">
        <f t="shared" si="0"/>
        <v>36</v>
      </c>
      <c r="C47" s="670">
        <f>+C46+'[1]COTIZACIONES MERCADO'!$I$29</f>
        <v>2.7805800000000008E-3</v>
      </c>
      <c r="D47" s="670">
        <f>+D46+'[1]COTIZACIONES MERCADO'!$J$29</f>
        <v>1.6964200000000001E-3</v>
      </c>
      <c r="E47" s="670">
        <f>+E46+'[1]COTIZACIONES MERCADO'!$K$29</f>
        <v>8.5184000000000008E-4</v>
      </c>
      <c r="F47" s="670">
        <f>+F46+'[1]COTIZACIONES MERCADO'!$L$29</f>
        <v>6.8098800000000021E-4</v>
      </c>
      <c r="G47" s="670">
        <f>+G46+'[1]COTIZACIONES MERCADO'!$M$29</f>
        <v>4.6488200000000012E-4</v>
      </c>
    </row>
    <row r="48" spans="1:7" ht="18.5" x14ac:dyDescent="0.45">
      <c r="B48" s="645">
        <f t="shared" si="0"/>
        <v>37</v>
      </c>
      <c r="C48" s="670">
        <f>+C47+'[1]COTIZACIONES MERCADO'!$I$29</f>
        <v>2.8628600000000009E-3</v>
      </c>
      <c r="D48" s="670">
        <f>+D47+'[1]COTIZACIONES MERCADO'!$J$29</f>
        <v>1.7411900000000001E-3</v>
      </c>
      <c r="E48" s="670">
        <f>+E47+'[1]COTIZACIONES MERCADO'!$K$29</f>
        <v>8.772500000000001E-4</v>
      </c>
      <c r="F48" s="670">
        <f>+F47+'[1]COTIZACIONES MERCADO'!$L$29</f>
        <v>7.0131600000000022E-4</v>
      </c>
      <c r="G48" s="670">
        <f>+G47+'[1]COTIZACIONES MERCADO'!$M$29</f>
        <v>4.7873650000000012E-4</v>
      </c>
    </row>
    <row r="49" spans="2:7" ht="18.5" x14ac:dyDescent="0.45">
      <c r="B49" s="645">
        <f t="shared" si="0"/>
        <v>38</v>
      </c>
      <c r="C49" s="670">
        <f>+C48+'[1]COTIZACIONES MERCADO'!$I$29</f>
        <v>2.945140000000001E-3</v>
      </c>
      <c r="D49" s="670">
        <f>+D48+'[1]COTIZACIONES MERCADO'!$J$29</f>
        <v>1.7859600000000001E-3</v>
      </c>
      <c r="E49" s="670">
        <f>+E48+'[1]COTIZACIONES MERCADO'!$K$29</f>
        <v>9.0266000000000012E-4</v>
      </c>
      <c r="F49" s="670">
        <f>+F48+'[1]COTIZACIONES MERCADO'!$L$29</f>
        <v>7.2164400000000023E-4</v>
      </c>
      <c r="G49" s="670">
        <f>+G48+'[1]COTIZACIONES MERCADO'!$M$29</f>
        <v>4.9259100000000012E-4</v>
      </c>
    </row>
    <row r="50" spans="2:7" ht="18.5" x14ac:dyDescent="0.45">
      <c r="B50" s="645">
        <f t="shared" si="0"/>
        <v>39</v>
      </c>
      <c r="C50" s="670">
        <f>+C49+'[1]COTIZACIONES MERCADO'!$I$29</f>
        <v>3.0274200000000012E-3</v>
      </c>
      <c r="D50" s="670">
        <f>+D49+'[1]COTIZACIONES MERCADO'!$J$29</f>
        <v>1.83073E-3</v>
      </c>
      <c r="E50" s="670">
        <f>+E49+'[1]COTIZACIONES MERCADO'!$K$29</f>
        <v>9.2807000000000013E-4</v>
      </c>
      <c r="F50" s="670">
        <f>+F49+'[1]COTIZACIONES MERCADO'!$L$29</f>
        <v>7.4197200000000025E-4</v>
      </c>
      <c r="G50" s="670">
        <f>+G49+'[1]COTIZACIONES MERCADO'!$M$29</f>
        <v>5.0644550000000007E-4</v>
      </c>
    </row>
    <row r="51" spans="2:7" ht="18.5" x14ac:dyDescent="0.45">
      <c r="B51" s="645">
        <f t="shared" si="0"/>
        <v>40</v>
      </c>
      <c r="C51" s="670">
        <f>+C50+'[1]COTIZACIONES MERCADO'!$I$29</f>
        <v>3.1097000000000013E-3</v>
      </c>
      <c r="D51" s="670">
        <f>+D50+'[1]COTIZACIONES MERCADO'!$J$29</f>
        <v>1.8755E-3</v>
      </c>
      <c r="E51" s="670">
        <f>+E50+'[1]COTIZACIONES MERCADO'!$K$29</f>
        <v>9.5348000000000015E-4</v>
      </c>
      <c r="F51" s="670">
        <f>+F50+'[1]COTIZACIONES MERCADO'!$L$29</f>
        <v>7.6230000000000026E-4</v>
      </c>
      <c r="G51" s="670">
        <f>+G50+'[1]COTIZACIONES MERCADO'!$M$29</f>
        <v>5.2030000000000002E-4</v>
      </c>
    </row>
    <row r="52" spans="2:7" ht="18.5" x14ac:dyDescent="0.45">
      <c r="B52" s="645">
        <f t="shared" si="0"/>
        <v>41</v>
      </c>
      <c r="C52" s="670">
        <f>+C51+'[1]COTIZACIONES MERCADO'!$I$30</f>
        <v>3.2113400000000013E-3</v>
      </c>
      <c r="D52" s="670">
        <f>+D51+'[1]COTIZACIONES MERCADO'!$J$30</f>
        <v>1.9323700000000001E-3</v>
      </c>
      <c r="E52" s="670">
        <f>+E51+'[1]COTIZACIONES MERCADO'!$K$30</f>
        <v>9.8518200000000025E-4</v>
      </c>
      <c r="F52" s="670">
        <f>+F51+'[1]COTIZACIONES MERCADO'!$L$30</f>
        <v>7.8771000000000028E-4</v>
      </c>
      <c r="G52" s="670">
        <f>+G51+'[1]COTIZACIONES MERCADO'!$M$30</f>
        <v>5.3766350000000003E-4</v>
      </c>
    </row>
    <row r="53" spans="2:7" ht="18.5" x14ac:dyDescent="0.45">
      <c r="B53" s="645">
        <f t="shared" si="0"/>
        <v>42</v>
      </c>
      <c r="C53" s="670">
        <f>+C52+'[1]COTIZACIONES MERCADO'!$I$30</f>
        <v>3.3129800000000014E-3</v>
      </c>
      <c r="D53" s="670">
        <f>+D52+'[1]COTIZACIONES MERCADO'!$J$30</f>
        <v>1.9892400000000002E-3</v>
      </c>
      <c r="E53" s="670">
        <f>+E52+'[1]COTIZACIONES MERCADO'!$K$30</f>
        <v>1.0168840000000002E-3</v>
      </c>
      <c r="F53" s="670">
        <f>+F52+'[1]COTIZACIONES MERCADO'!$L$30</f>
        <v>8.1312000000000029E-4</v>
      </c>
      <c r="G53" s="670">
        <f>+G52+'[1]COTIZACIONES MERCADO'!$M$30</f>
        <v>5.5502700000000004E-4</v>
      </c>
    </row>
    <row r="54" spans="2:7" ht="18.5" x14ac:dyDescent="0.45">
      <c r="B54" s="645">
        <f t="shared" si="0"/>
        <v>43</v>
      </c>
      <c r="C54" s="670">
        <f>+C53+'[1]COTIZACIONES MERCADO'!$I$30</f>
        <v>3.4146200000000015E-3</v>
      </c>
      <c r="D54" s="670">
        <f>+D53+'[1]COTIZACIONES MERCADO'!$J$30</f>
        <v>2.0461100000000003E-3</v>
      </c>
      <c r="E54" s="670">
        <f>+E53+'[1]COTIZACIONES MERCADO'!$K$30</f>
        <v>1.0485860000000002E-3</v>
      </c>
      <c r="F54" s="670">
        <f>+F53+'[1]COTIZACIONES MERCADO'!$L$30</f>
        <v>8.3853000000000031E-4</v>
      </c>
      <c r="G54" s="670">
        <f>+G53+'[1]COTIZACIONES MERCADO'!$M$30</f>
        <v>5.7239050000000005E-4</v>
      </c>
    </row>
    <row r="55" spans="2:7" ht="18.5" x14ac:dyDescent="0.45">
      <c r="B55" s="645">
        <f t="shared" si="0"/>
        <v>44</v>
      </c>
      <c r="C55" s="670">
        <f>+C54+'[1]COTIZACIONES MERCADO'!$I$30</f>
        <v>3.5162600000000015E-3</v>
      </c>
      <c r="D55" s="670">
        <f>+D54+'[1]COTIZACIONES MERCADO'!$J$30</f>
        <v>2.1029800000000004E-3</v>
      </c>
      <c r="E55" s="670">
        <f>+E54+'[1]COTIZACIONES MERCADO'!$K$30</f>
        <v>1.0802880000000002E-3</v>
      </c>
      <c r="F55" s="670">
        <f>+F54+'[1]COTIZACIONES MERCADO'!$L$30</f>
        <v>8.6394000000000032E-4</v>
      </c>
      <c r="G55" s="670">
        <f>+G54+'[1]COTIZACIONES MERCADO'!$M$30</f>
        <v>5.8975400000000006E-4</v>
      </c>
    </row>
    <row r="56" spans="2:7" ht="18.5" x14ac:dyDescent="0.45">
      <c r="B56" s="645">
        <f t="shared" si="0"/>
        <v>45</v>
      </c>
      <c r="C56" s="670">
        <f>+C55+'[1]COTIZACIONES MERCADO'!$I$30</f>
        <v>3.6179000000000016E-3</v>
      </c>
      <c r="D56" s="670">
        <f>+D55+'[1]COTIZACIONES MERCADO'!$J$30</f>
        <v>2.1598500000000005E-3</v>
      </c>
      <c r="E56" s="670">
        <f>+E55+'[1]COTIZACIONES MERCADO'!$K$30</f>
        <v>1.1119900000000002E-3</v>
      </c>
      <c r="F56" s="670">
        <f>+F55+'[1]COTIZACIONES MERCADO'!$L$30</f>
        <v>8.8935000000000034E-4</v>
      </c>
      <c r="G56" s="670">
        <f>+G55+'[1]COTIZACIONES MERCADO'!$M$30</f>
        <v>6.0711750000000007E-4</v>
      </c>
    </row>
    <row r="57" spans="2:7" ht="18.5" x14ac:dyDescent="0.45">
      <c r="B57" s="645">
        <f t="shared" si="0"/>
        <v>46</v>
      </c>
      <c r="C57" s="670">
        <f>+C56+'[1]COTIZACIONES MERCADO'!$I$30</f>
        <v>3.7195400000000016E-3</v>
      </c>
      <c r="D57" s="670">
        <f>+D56+'[1]COTIZACIONES MERCADO'!$J$30</f>
        <v>2.2167200000000006E-3</v>
      </c>
      <c r="E57" s="670">
        <f>+E56+'[1]COTIZACIONES MERCADO'!$K$30</f>
        <v>1.1436920000000002E-3</v>
      </c>
      <c r="F57" s="670">
        <f>+F56+'[1]COTIZACIONES MERCADO'!$L$30</f>
        <v>9.1476000000000036E-4</v>
      </c>
      <c r="G57" s="670">
        <f>+G56+'[1]COTIZACIONES MERCADO'!$M$30</f>
        <v>6.2448100000000008E-4</v>
      </c>
    </row>
    <row r="58" spans="2:7" ht="18.5" x14ac:dyDescent="0.45">
      <c r="B58" s="645">
        <f t="shared" si="0"/>
        <v>47</v>
      </c>
      <c r="C58" s="670">
        <f>+C57+'[1]COTIZACIONES MERCADO'!$I$30</f>
        <v>3.8211800000000017E-3</v>
      </c>
      <c r="D58" s="670">
        <f>+D57+'[1]COTIZACIONES MERCADO'!$J$30</f>
        <v>2.2735900000000007E-3</v>
      </c>
      <c r="E58" s="670">
        <f>+E57+'[1]COTIZACIONES MERCADO'!$K$30</f>
        <v>1.1753940000000002E-3</v>
      </c>
      <c r="F58" s="670">
        <f>+F57+'[1]COTIZACIONES MERCADO'!$L$30</f>
        <v>9.4017000000000037E-4</v>
      </c>
      <c r="G58" s="670">
        <f>+G57+'[1]COTIZACIONES MERCADO'!$M$30</f>
        <v>6.4184450000000009E-4</v>
      </c>
    </row>
    <row r="59" spans="2:7" ht="18.5" x14ac:dyDescent="0.45">
      <c r="B59" s="645">
        <f t="shared" si="0"/>
        <v>48</v>
      </c>
      <c r="C59" s="670">
        <f>+C58+'[1]COTIZACIONES MERCADO'!$I$30</f>
        <v>3.9228200000000013E-3</v>
      </c>
      <c r="D59" s="670">
        <f>+D58+'[1]COTIZACIONES MERCADO'!$J$30</f>
        <v>2.3304600000000008E-3</v>
      </c>
      <c r="E59" s="670">
        <f>+E58+'[1]COTIZACIONES MERCADO'!$K$30</f>
        <v>1.2070960000000002E-3</v>
      </c>
      <c r="F59" s="670">
        <f>+F58+'[1]COTIZACIONES MERCADO'!$L$30</f>
        <v>9.6558000000000039E-4</v>
      </c>
      <c r="G59" s="670">
        <f>+G58+'[1]COTIZACIONES MERCADO'!$M$30</f>
        <v>6.592080000000001E-4</v>
      </c>
    </row>
    <row r="60" spans="2:7" ht="18.5" x14ac:dyDescent="0.45">
      <c r="B60" s="645">
        <f t="shared" si="0"/>
        <v>49</v>
      </c>
      <c r="C60" s="670">
        <f>+C59+'[1]COTIZACIONES MERCADO'!$I$30</f>
        <v>4.0244600000000014E-3</v>
      </c>
      <c r="D60" s="670">
        <f>+D59+'[1]COTIZACIONES MERCADO'!$J$30</f>
        <v>2.3873300000000009E-3</v>
      </c>
      <c r="E60" s="670">
        <f>+E59+'[1]COTIZACIONES MERCADO'!$K$30</f>
        <v>1.2387980000000002E-3</v>
      </c>
      <c r="F60" s="670">
        <f>+F59+'[1]COTIZACIONES MERCADO'!$L$30</f>
        <v>9.909900000000004E-4</v>
      </c>
      <c r="G60" s="670">
        <f>+G59+'[1]COTIZACIONES MERCADO'!$M$30</f>
        <v>6.7657150000000011E-4</v>
      </c>
    </row>
    <row r="61" spans="2:7" ht="18.5" x14ac:dyDescent="0.45">
      <c r="B61" s="645">
        <f t="shared" si="0"/>
        <v>50</v>
      </c>
      <c r="C61" s="670">
        <f>+C60+'[1]COTIZACIONES MERCADO'!$I$30</f>
        <v>4.1261000000000015E-3</v>
      </c>
      <c r="D61" s="670">
        <f>+D60+'[1]COTIZACIONES MERCADO'!$J$30</f>
        <v>2.444200000000001E-3</v>
      </c>
      <c r="E61" s="670">
        <f>+E60+'[1]COTIZACIONES MERCADO'!$K$30</f>
        <v>1.2705000000000001E-3</v>
      </c>
      <c r="F61" s="670">
        <f>+F60+'[1]COTIZACIONES MERCADO'!$L$30</f>
        <v>1.0164000000000004E-3</v>
      </c>
      <c r="G61" s="670">
        <f>+G60+'[1]COTIZACIONES MERCADO'!$M$30</f>
        <v>6.9393500000000012E-4</v>
      </c>
    </row>
    <row r="62" spans="2:7" ht="18.5" x14ac:dyDescent="0.45">
      <c r="B62" s="645">
        <f t="shared" si="0"/>
        <v>51</v>
      </c>
      <c r="C62" s="670">
        <f>+C61+'[1]COTIZACIONES MERCADO'!$I$31</f>
        <v>4.3366400000000018E-3</v>
      </c>
      <c r="D62" s="670">
        <f>+D61+'[1]COTIZACIONES MERCADO'!$J$31</f>
        <v>2.5555200000000008E-3</v>
      </c>
      <c r="E62" s="670">
        <f>+E61+'[1]COTIZACIONES MERCADO'!$K$31</f>
        <v>1.3341460000000002E-3</v>
      </c>
      <c r="F62" s="670">
        <f>+F61+'[1]COTIZACIONES MERCADO'!$L$31</f>
        <v>1.0673410000000005E-3</v>
      </c>
      <c r="G62" s="670">
        <f>+G61+'[1]COTIZACIONES MERCADO'!$M$31</f>
        <v>7.3561950000000014E-4</v>
      </c>
    </row>
    <row r="63" spans="2:7" ht="18.5" x14ac:dyDescent="0.45">
      <c r="B63" s="645">
        <f t="shared" si="0"/>
        <v>52</v>
      </c>
      <c r="C63" s="670">
        <f>+C62+'[1]COTIZACIONES MERCADO'!$I$31</f>
        <v>4.5471800000000022E-3</v>
      </c>
      <c r="D63" s="670">
        <f>+D62+'[1]COTIZACIONES MERCADO'!$J$31</f>
        <v>2.6668400000000006E-3</v>
      </c>
      <c r="E63" s="670">
        <f>+E62+'[1]COTIZACIONES MERCADO'!$K$31</f>
        <v>1.3977920000000003E-3</v>
      </c>
      <c r="F63" s="670">
        <f>+F62+'[1]COTIZACIONES MERCADO'!$L$31</f>
        <v>1.1182820000000006E-3</v>
      </c>
      <c r="G63" s="670">
        <f>+G62+'[1]COTIZACIONES MERCADO'!$M$31</f>
        <v>7.7730400000000015E-4</v>
      </c>
    </row>
    <row r="64" spans="2:7" ht="18.5" x14ac:dyDescent="0.45">
      <c r="B64" s="645">
        <f t="shared" si="0"/>
        <v>53</v>
      </c>
      <c r="C64" s="670">
        <f>+C63+'[1]COTIZACIONES MERCADO'!$I$31</f>
        <v>4.7577200000000026E-3</v>
      </c>
      <c r="D64" s="670">
        <f>+D63+'[1]COTIZACIONES MERCADO'!$J$31</f>
        <v>2.7781600000000004E-3</v>
      </c>
      <c r="E64" s="670">
        <f>+E63+'[1]COTIZACIONES MERCADO'!$K$31</f>
        <v>1.4614380000000005E-3</v>
      </c>
      <c r="F64" s="670">
        <f>+F63+'[1]COTIZACIONES MERCADO'!$L$31</f>
        <v>1.1692230000000007E-3</v>
      </c>
      <c r="G64" s="670">
        <f>+G63+'[1]COTIZACIONES MERCADO'!$M$31</f>
        <v>8.1898850000000016E-4</v>
      </c>
    </row>
    <row r="65" spans="2:7" ht="18.5" x14ac:dyDescent="0.45">
      <c r="B65" s="645">
        <f t="shared" si="0"/>
        <v>54</v>
      </c>
      <c r="C65" s="670">
        <f>+C64+'[1]COTIZACIONES MERCADO'!$I$31</f>
        <v>4.968260000000003E-3</v>
      </c>
      <c r="D65" s="670">
        <f>+D64+'[1]COTIZACIONES MERCADO'!$J$31</f>
        <v>2.8894800000000003E-3</v>
      </c>
      <c r="E65" s="670">
        <f>+E64+'[1]COTIZACIONES MERCADO'!$K$31</f>
        <v>1.5250840000000006E-3</v>
      </c>
      <c r="F65" s="670">
        <f>+F64+'[1]COTIZACIONES MERCADO'!$L$31</f>
        <v>1.2201640000000008E-3</v>
      </c>
      <c r="G65" s="670">
        <f>+G64+'[1]COTIZACIONES MERCADO'!$M$31</f>
        <v>8.6067300000000017E-4</v>
      </c>
    </row>
    <row r="66" spans="2:7" ht="18.5" x14ac:dyDescent="0.45">
      <c r="B66" s="645">
        <f t="shared" si="0"/>
        <v>55</v>
      </c>
      <c r="C66" s="670">
        <f>+C65+'[1]COTIZACIONES MERCADO'!$I$31</f>
        <v>5.1788000000000034E-3</v>
      </c>
      <c r="D66" s="670">
        <f>+D65+'[1]COTIZACIONES MERCADO'!$J$31</f>
        <v>3.0008000000000001E-3</v>
      </c>
      <c r="E66" s="670">
        <f>+E65+'[1]COTIZACIONES MERCADO'!$K$31</f>
        <v>1.5887300000000007E-3</v>
      </c>
      <c r="F66" s="670">
        <f>+F65+'[1]COTIZACIONES MERCADO'!$L$31</f>
        <v>1.2711050000000009E-3</v>
      </c>
      <c r="G66" s="670">
        <f>+G65+'[1]COTIZACIONES MERCADO'!$M$31</f>
        <v>9.0235750000000018E-4</v>
      </c>
    </row>
    <row r="67" spans="2:7" ht="18.5" x14ac:dyDescent="0.45">
      <c r="B67" s="645">
        <f t="shared" si="0"/>
        <v>56</v>
      </c>
      <c r="C67" s="670">
        <f>+C66+'[1]COTIZACIONES MERCADO'!$I$31</f>
        <v>5.3893400000000037E-3</v>
      </c>
      <c r="D67" s="670">
        <f>+D66+'[1]COTIZACIONES MERCADO'!$J$31</f>
        <v>3.1121199999999999E-3</v>
      </c>
      <c r="E67" s="670">
        <f>+E66+'[1]COTIZACIONES MERCADO'!$K$31</f>
        <v>1.6523760000000008E-3</v>
      </c>
      <c r="F67" s="670">
        <f>+F66+'[1]COTIZACIONES MERCADO'!$L$31</f>
        <v>1.322046000000001E-3</v>
      </c>
      <c r="G67" s="670">
        <f>+G66+'[1]COTIZACIONES MERCADO'!$M$31</f>
        <v>9.4404200000000019E-4</v>
      </c>
    </row>
    <row r="68" spans="2:7" ht="18.5" x14ac:dyDescent="0.45">
      <c r="B68" s="645">
        <f t="shared" si="0"/>
        <v>57</v>
      </c>
      <c r="C68" s="670">
        <f>+C67+'[1]COTIZACIONES MERCADO'!$I$31</f>
        <v>5.5998800000000041E-3</v>
      </c>
      <c r="D68" s="670">
        <f>+D67+'[1]COTIZACIONES MERCADO'!$J$31</f>
        <v>3.2234399999999997E-3</v>
      </c>
      <c r="E68" s="670">
        <f>+E67+'[1]COTIZACIONES MERCADO'!$K$31</f>
        <v>1.7160220000000009E-3</v>
      </c>
      <c r="F68" s="670">
        <f>+F67+'[1]COTIZACIONES MERCADO'!$L$31</f>
        <v>1.3729870000000011E-3</v>
      </c>
      <c r="G68" s="670">
        <f>+G67+'[1]COTIZACIONES MERCADO'!$M$31</f>
        <v>9.8572650000000031E-4</v>
      </c>
    </row>
    <row r="69" spans="2:7" ht="18.5" x14ac:dyDescent="0.45">
      <c r="B69" s="645">
        <f t="shared" si="0"/>
        <v>58</v>
      </c>
      <c r="C69" s="670">
        <f>+C68+'[1]COTIZACIONES MERCADO'!$I$31</f>
        <v>5.8104200000000045E-3</v>
      </c>
      <c r="D69" s="670">
        <f>+D68+'[1]COTIZACIONES MERCADO'!$J$31</f>
        <v>3.3347599999999995E-3</v>
      </c>
      <c r="E69" s="670">
        <f>+E68+'[1]COTIZACIONES MERCADO'!$K$31</f>
        <v>1.779668000000001E-3</v>
      </c>
      <c r="F69" s="670">
        <f>+F68+'[1]COTIZACIONES MERCADO'!$L$31</f>
        <v>1.4239280000000012E-3</v>
      </c>
      <c r="G69" s="670">
        <f>+G68+'[1]COTIZACIONES MERCADO'!$M$31</f>
        <v>1.0274110000000002E-3</v>
      </c>
    </row>
    <row r="70" spans="2:7" ht="18.5" x14ac:dyDescent="0.45">
      <c r="B70" s="645">
        <f t="shared" si="0"/>
        <v>59</v>
      </c>
      <c r="C70" s="670">
        <f>+C69+'[1]COTIZACIONES MERCADO'!$I$31</f>
        <v>6.0209600000000049E-3</v>
      </c>
      <c r="D70" s="670">
        <f>+D69+'[1]COTIZACIONES MERCADO'!$J$31</f>
        <v>3.4460799999999994E-3</v>
      </c>
      <c r="E70" s="670">
        <f>+E69+'[1]COTIZACIONES MERCADO'!$K$31</f>
        <v>1.8433140000000011E-3</v>
      </c>
      <c r="F70" s="670">
        <f>+F69+'[1]COTIZACIONES MERCADO'!$L$31</f>
        <v>1.4748690000000013E-3</v>
      </c>
      <c r="G70" s="670">
        <f>+G69+'[1]COTIZACIONES MERCADO'!$M$31</f>
        <v>1.0690955000000001E-3</v>
      </c>
    </row>
    <row r="71" spans="2:7" ht="18.5" x14ac:dyDescent="0.45">
      <c r="B71" s="645">
        <f t="shared" si="0"/>
        <v>60</v>
      </c>
      <c r="C71" s="670">
        <f>+C70+'[1]COTIZACIONES MERCADO'!$I$31</f>
        <v>6.2315000000000053E-3</v>
      </c>
      <c r="D71" s="670">
        <f>+D70+'[1]COTIZACIONES MERCADO'!$J$31</f>
        <v>3.5573999999999992E-3</v>
      </c>
      <c r="E71" s="670">
        <f>+E70+'[1]COTIZACIONES MERCADO'!$K$31</f>
        <v>1.9069600000000012E-3</v>
      </c>
      <c r="F71" s="670">
        <f>+F70+'[1]COTIZACIONES MERCADO'!$L$31</f>
        <v>1.5258100000000014E-3</v>
      </c>
      <c r="G71" s="670">
        <f>+G70+'[1]COTIZACIONES MERCADO'!$M$31</f>
        <v>1.11078E-3</v>
      </c>
    </row>
    <row r="72" spans="2:7" ht="18.5" x14ac:dyDescent="0.45">
      <c r="B72" s="645">
        <f t="shared" si="0"/>
        <v>61</v>
      </c>
      <c r="C72" s="670">
        <f>+C71+'[1]COTIZACIONES MERCADO'!$I$32</f>
        <v>6.4184450000000053E-3</v>
      </c>
      <c r="D72" s="670">
        <f>+D71+'[1]COTIZACIONES MERCADO'!$J$32</f>
        <v>3.6641219999999993E-3</v>
      </c>
      <c r="E72" s="670">
        <f>+E71+'[1]COTIZACIONES MERCADO'!$K$32</f>
        <v>1.9641688000000012E-3</v>
      </c>
      <c r="F72" s="670">
        <f>+F71+'[1]COTIZACIONES MERCADO'!$L$32</f>
        <v>1.5715843000000014E-3</v>
      </c>
      <c r="G72" s="670">
        <f>+G71+'[1]COTIZACIONES MERCADO'!$M$32</f>
        <v>1.1441034E-3</v>
      </c>
    </row>
    <row r="73" spans="2:7" ht="18.5" x14ac:dyDescent="0.45">
      <c r="B73" s="645">
        <f t="shared" si="0"/>
        <v>62</v>
      </c>
      <c r="C73" s="670">
        <f>+C72+'[1]COTIZACIONES MERCADO'!$I$32</f>
        <v>6.6053900000000053E-3</v>
      </c>
      <c r="D73" s="670">
        <f>+D72+'[1]COTIZACIONES MERCADO'!$J$32</f>
        <v>3.7708439999999993E-3</v>
      </c>
      <c r="E73" s="670">
        <f>+E72+'[1]COTIZACIONES MERCADO'!$K$32</f>
        <v>2.0213776000000011E-3</v>
      </c>
      <c r="F73" s="670">
        <f>+F72+'[1]COTIZACIONES MERCADO'!$L$32</f>
        <v>1.6173586000000015E-3</v>
      </c>
      <c r="G73" s="670">
        <f>+G72+'[1]COTIZACIONES MERCADO'!$M$32</f>
        <v>1.1774267999999999E-3</v>
      </c>
    </row>
    <row r="74" spans="2:7" ht="18.5" x14ac:dyDescent="0.45">
      <c r="B74" s="645">
        <f t="shared" si="0"/>
        <v>63</v>
      </c>
      <c r="C74" s="670">
        <f>+C73+'[1]COTIZACIONES MERCADO'!$I$32</f>
        <v>6.7923350000000052E-3</v>
      </c>
      <c r="D74" s="670">
        <f>+D73+'[1]COTIZACIONES MERCADO'!$J$32</f>
        <v>3.8775659999999994E-3</v>
      </c>
      <c r="E74" s="670">
        <f>+E73+'[1]COTIZACIONES MERCADO'!$K$32</f>
        <v>2.0785864000000009E-3</v>
      </c>
      <c r="F74" s="670">
        <f>+F73+'[1]COTIZACIONES MERCADO'!$L$32</f>
        <v>1.6631329000000015E-3</v>
      </c>
      <c r="G74" s="670">
        <f>+G73+'[1]COTIZACIONES MERCADO'!$M$32</f>
        <v>1.2107501999999999E-3</v>
      </c>
    </row>
    <row r="75" spans="2:7" ht="18.5" x14ac:dyDescent="0.45">
      <c r="B75" s="645">
        <f t="shared" si="0"/>
        <v>64</v>
      </c>
      <c r="C75" s="670">
        <f>+C74+'[1]COTIZACIONES MERCADO'!$I$32</f>
        <v>6.9792800000000052E-3</v>
      </c>
      <c r="D75" s="670">
        <f>+D74+'[1]COTIZACIONES MERCADO'!$J$32</f>
        <v>3.984287999999999E-3</v>
      </c>
      <c r="E75" s="670">
        <f>+E74+'[1]COTIZACIONES MERCADO'!$K$32</f>
        <v>2.1357952000000007E-3</v>
      </c>
      <c r="F75" s="670">
        <f>+F74+'[1]COTIZACIONES MERCADO'!$L$32</f>
        <v>1.7089072000000015E-3</v>
      </c>
      <c r="G75" s="670">
        <f>+G74+'[1]COTIZACIONES MERCADO'!$M$32</f>
        <v>1.2440735999999998E-3</v>
      </c>
    </row>
    <row r="76" spans="2:7" ht="18.5" x14ac:dyDescent="0.45">
      <c r="B76" s="645">
        <f t="shared" si="0"/>
        <v>65</v>
      </c>
      <c r="C76" s="670">
        <f>+C75+'[1]COTIZACIONES MERCADO'!$I$32</f>
        <v>7.1662250000000052E-3</v>
      </c>
      <c r="D76" s="670">
        <f>+D75+'[1]COTIZACIONES MERCADO'!$J$32</f>
        <v>4.0910099999999991E-3</v>
      </c>
      <c r="E76" s="670">
        <f>+E75+'[1]COTIZACIONES MERCADO'!$K$32</f>
        <v>2.1930040000000006E-3</v>
      </c>
      <c r="F76" s="670">
        <f>+F75+'[1]COTIZACIONES MERCADO'!$L$32</f>
        <v>1.7546815000000016E-3</v>
      </c>
      <c r="G76" s="670">
        <f>+G75+'[1]COTIZACIONES MERCADO'!$M$32</f>
        <v>1.2773969999999998E-3</v>
      </c>
    </row>
  </sheetData>
  <mergeCells count="10">
    <mergeCell ref="B3:G3"/>
    <mergeCell ref="B4:G4"/>
    <mergeCell ref="B7:G7"/>
    <mergeCell ref="B8:B10"/>
    <mergeCell ref="C8:G8"/>
    <mergeCell ref="C9:C10"/>
    <mergeCell ref="D9:D10"/>
    <mergeCell ref="E9:E10"/>
    <mergeCell ref="F9:F10"/>
    <mergeCell ref="G9:G10"/>
  </mergeCells>
  <pageMargins left="1.1023622047244095" right="0.70866141732283472" top="0.74803149606299213" bottom="0.74803149606299213" header="0.31496062992125984" footer="0.31496062992125984"/>
  <pageSetup scale="52" orientation="portrait" horizontalDpi="0"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G76"/>
  <sheetViews>
    <sheetView topLeftCell="A8" workbookViewId="0">
      <selection activeCell="C15" sqref="C15"/>
    </sheetView>
  </sheetViews>
  <sheetFormatPr baseColWidth="10" defaultColWidth="11.453125" defaultRowHeight="14.5" x14ac:dyDescent="0.35"/>
  <cols>
    <col min="3" max="3" width="19" customWidth="1"/>
    <col min="4" max="4" width="18.1796875" customWidth="1"/>
    <col min="5" max="5" width="18.54296875" customWidth="1"/>
    <col min="6" max="6" width="17.81640625" customWidth="1"/>
    <col min="7" max="7" width="18.7265625" customWidth="1"/>
  </cols>
  <sheetData>
    <row r="2" spans="2:7" x14ac:dyDescent="0.35">
      <c r="G2" t="s">
        <v>286</v>
      </c>
    </row>
    <row r="3" spans="2:7" x14ac:dyDescent="0.35">
      <c r="B3" s="763" t="s">
        <v>283</v>
      </c>
      <c r="C3" s="763"/>
      <c r="D3" s="763"/>
      <c r="E3" s="763"/>
      <c r="F3" s="763"/>
      <c r="G3" s="763"/>
    </row>
    <row r="4" spans="2:7" x14ac:dyDescent="0.35">
      <c r="B4" s="763" t="s">
        <v>284</v>
      </c>
      <c r="C4" s="763"/>
      <c r="D4" s="763"/>
      <c r="E4" s="763"/>
      <c r="F4" s="763"/>
      <c r="G4" s="763"/>
    </row>
    <row r="5" spans="2:7" x14ac:dyDescent="0.35">
      <c r="B5" s="644"/>
      <c r="C5" s="644"/>
      <c r="D5" s="644"/>
      <c r="E5" s="644"/>
      <c r="F5" s="644"/>
      <c r="G5" s="644"/>
    </row>
    <row r="6" spans="2:7" x14ac:dyDescent="0.35">
      <c r="B6" s="644"/>
      <c r="C6" s="644"/>
      <c r="D6" s="644"/>
      <c r="E6" s="644"/>
      <c r="F6" s="644"/>
      <c r="G6" s="644"/>
    </row>
    <row r="7" spans="2:7" x14ac:dyDescent="0.35">
      <c r="B7" s="764" t="s">
        <v>269</v>
      </c>
      <c r="C7" s="765"/>
      <c r="D7" s="765"/>
      <c r="E7" s="765"/>
      <c r="F7" s="765"/>
      <c r="G7" s="765"/>
    </row>
    <row r="8" spans="2:7" x14ac:dyDescent="0.35">
      <c r="B8" s="766" t="s">
        <v>270</v>
      </c>
      <c r="C8" s="769" t="s">
        <v>245</v>
      </c>
      <c r="D8" s="770"/>
      <c r="E8" s="770"/>
      <c r="F8" s="770"/>
      <c r="G8" s="770"/>
    </row>
    <row r="9" spans="2:7" x14ac:dyDescent="0.35">
      <c r="B9" s="767"/>
      <c r="C9" s="773">
        <v>50000</v>
      </c>
      <c r="D9" s="775">
        <v>100000</v>
      </c>
      <c r="E9" s="775">
        <v>250000</v>
      </c>
      <c r="F9" s="775">
        <v>500000</v>
      </c>
      <c r="G9" s="775">
        <v>1000000</v>
      </c>
    </row>
    <row r="10" spans="2:7" x14ac:dyDescent="0.35">
      <c r="B10" s="768"/>
      <c r="C10" s="774"/>
      <c r="D10" s="776"/>
      <c r="E10" s="776"/>
      <c r="F10" s="776"/>
      <c r="G10" s="776"/>
    </row>
    <row r="11" spans="2:7" x14ac:dyDescent="0.35">
      <c r="B11" s="645">
        <v>0</v>
      </c>
      <c r="C11" s="669">
        <f>+'ANEXO No.1'!C11</f>
        <v>2.2869000000000001E-3</v>
      </c>
      <c r="D11" s="669">
        <f>+'ANEXO No.1'!D11</f>
        <v>1.4278000000000003E-3</v>
      </c>
      <c r="E11" s="669">
        <f>+'ANEXO No.1'!E11</f>
        <v>6.9937999999999999E-4</v>
      </c>
      <c r="F11" s="669">
        <f>+'ANEXO No.1'!F11</f>
        <v>5.5902000000000013E-4</v>
      </c>
      <c r="G11" s="669">
        <f>+'ANEXO No.1'!G11</f>
        <v>3.8175500000000012E-4</v>
      </c>
    </row>
    <row r="12" spans="2:7" x14ac:dyDescent="0.35">
      <c r="B12" s="645">
        <v>1</v>
      </c>
      <c r="C12" s="669">
        <f>+'ANEXO No.1'!C12</f>
        <v>2.2869000000000001E-3</v>
      </c>
      <c r="D12" s="669">
        <f>+'ANEXO No.1'!D12</f>
        <v>1.4278000000000003E-3</v>
      </c>
      <c r="E12" s="669">
        <f>+'ANEXO No.1'!E12</f>
        <v>6.9937999999999999E-4</v>
      </c>
      <c r="F12" s="669">
        <f>+'ANEXO No.1'!F12</f>
        <v>5.5902000000000013E-4</v>
      </c>
      <c r="G12" s="669">
        <f>+'ANEXO No.1'!G12</f>
        <v>3.8175500000000012E-4</v>
      </c>
    </row>
    <row r="13" spans="2:7" x14ac:dyDescent="0.35">
      <c r="B13" s="645">
        <v>2</v>
      </c>
      <c r="C13" s="669">
        <f>+'ANEXO No.1'!C13</f>
        <v>2.2869000000000001E-3</v>
      </c>
      <c r="D13" s="669">
        <f>+'ANEXO No.1'!D13</f>
        <v>1.4278000000000003E-3</v>
      </c>
      <c r="E13" s="669">
        <f>+'ANEXO No.1'!E13</f>
        <v>6.9937999999999999E-4</v>
      </c>
      <c r="F13" s="669">
        <f>+'ANEXO No.1'!F13</f>
        <v>5.5902000000000013E-4</v>
      </c>
      <c r="G13" s="669">
        <f>+'ANEXO No.1'!G13</f>
        <v>3.8175500000000012E-4</v>
      </c>
    </row>
    <row r="14" spans="2:7" x14ac:dyDescent="0.35">
      <c r="B14" s="645">
        <v>3</v>
      </c>
      <c r="C14" s="669">
        <f>+'ANEXO No.1'!C14</f>
        <v>2.2869000000000001E-3</v>
      </c>
      <c r="D14" s="669">
        <f>+'ANEXO No.1'!D14</f>
        <v>1.4278000000000003E-3</v>
      </c>
      <c r="E14" s="669">
        <f>+'ANEXO No.1'!E14</f>
        <v>6.9937999999999999E-4</v>
      </c>
      <c r="F14" s="669">
        <f>+'ANEXO No.1'!F14</f>
        <v>5.5902000000000013E-4</v>
      </c>
      <c r="G14" s="669">
        <f>+'ANEXO No.1'!G14</f>
        <v>3.8175500000000012E-4</v>
      </c>
    </row>
    <row r="15" spans="2:7" x14ac:dyDescent="0.35">
      <c r="B15" s="645">
        <v>4</v>
      </c>
      <c r="C15" s="669">
        <f>+'ANEXO No.1'!C15</f>
        <v>2.2869000000000001E-3</v>
      </c>
      <c r="D15" s="669">
        <f>+'ANEXO No.1'!D15</f>
        <v>1.4278000000000003E-3</v>
      </c>
      <c r="E15" s="669">
        <f>+'ANEXO No.1'!E15</f>
        <v>6.9937999999999999E-4</v>
      </c>
      <c r="F15" s="669">
        <f>+'ANEXO No.1'!F15</f>
        <v>5.5902000000000013E-4</v>
      </c>
      <c r="G15" s="669">
        <f>+'ANEXO No.1'!G15</f>
        <v>3.8175500000000012E-4</v>
      </c>
    </row>
    <row r="16" spans="2:7" x14ac:dyDescent="0.35">
      <c r="B16" s="645">
        <v>5</v>
      </c>
      <c r="C16" s="669">
        <f>+'ANEXO No.1'!C16</f>
        <v>2.2869000000000001E-3</v>
      </c>
      <c r="D16" s="669">
        <f>+'ANEXO No.1'!D16</f>
        <v>1.4278000000000003E-3</v>
      </c>
      <c r="E16" s="669">
        <f>+'ANEXO No.1'!E16</f>
        <v>6.9937999999999999E-4</v>
      </c>
      <c r="F16" s="669">
        <f>+'ANEXO No.1'!F16</f>
        <v>5.5902000000000013E-4</v>
      </c>
      <c r="G16" s="669">
        <f>+'ANEXO No.1'!G16</f>
        <v>3.8175500000000012E-4</v>
      </c>
    </row>
    <row r="17" spans="2:7" x14ac:dyDescent="0.35">
      <c r="B17" s="645">
        <v>6</v>
      </c>
      <c r="C17" s="669">
        <f>+'ANEXO No.1'!C17</f>
        <v>2.2869000000000001E-3</v>
      </c>
      <c r="D17" s="669">
        <f>+'ANEXO No.1'!D17</f>
        <v>1.4278000000000003E-3</v>
      </c>
      <c r="E17" s="669">
        <f>+'ANEXO No.1'!E17</f>
        <v>6.9937999999999999E-4</v>
      </c>
      <c r="F17" s="669">
        <f>+'ANEXO No.1'!F17</f>
        <v>5.5902000000000013E-4</v>
      </c>
      <c r="G17" s="669">
        <f>+'ANEXO No.1'!G17</f>
        <v>3.8175500000000012E-4</v>
      </c>
    </row>
    <row r="18" spans="2:7" x14ac:dyDescent="0.35">
      <c r="B18" s="645">
        <v>7</v>
      </c>
      <c r="C18" s="669">
        <f>+'ANEXO No.1'!C18</f>
        <v>2.2869000000000001E-3</v>
      </c>
      <c r="D18" s="669">
        <f>+'ANEXO No.1'!D18</f>
        <v>1.4278000000000003E-3</v>
      </c>
      <c r="E18" s="669">
        <f>+'ANEXO No.1'!E18</f>
        <v>6.9937999999999999E-4</v>
      </c>
      <c r="F18" s="669">
        <f>+'ANEXO No.1'!F18</f>
        <v>5.5902000000000013E-4</v>
      </c>
      <c r="G18" s="669">
        <f>+'ANEXO No.1'!G18</f>
        <v>3.8175500000000012E-4</v>
      </c>
    </row>
    <row r="19" spans="2:7" x14ac:dyDescent="0.35">
      <c r="B19" s="645">
        <v>8</v>
      </c>
      <c r="C19" s="669">
        <f>+'ANEXO No.1'!C19</f>
        <v>2.2869000000000001E-3</v>
      </c>
      <c r="D19" s="669">
        <f>+'ANEXO No.1'!D19</f>
        <v>1.4278000000000003E-3</v>
      </c>
      <c r="E19" s="669">
        <f>+'ANEXO No.1'!E19</f>
        <v>6.9937999999999999E-4</v>
      </c>
      <c r="F19" s="669">
        <f>+'ANEXO No.1'!F19</f>
        <v>5.5902000000000013E-4</v>
      </c>
      <c r="G19" s="669">
        <f>+'ANEXO No.1'!G19</f>
        <v>3.8175500000000012E-4</v>
      </c>
    </row>
    <row r="20" spans="2:7" x14ac:dyDescent="0.35">
      <c r="B20" s="645">
        <v>9</v>
      </c>
      <c r="C20" s="669">
        <f>+'ANEXO No.1'!C20</f>
        <v>2.2869000000000001E-3</v>
      </c>
      <c r="D20" s="669">
        <f>+'ANEXO No.1'!D20</f>
        <v>1.4278000000000003E-3</v>
      </c>
      <c r="E20" s="669">
        <f>+'ANEXO No.1'!E20</f>
        <v>6.9937999999999999E-4</v>
      </c>
      <c r="F20" s="669">
        <f>+'ANEXO No.1'!F20</f>
        <v>5.5902000000000013E-4</v>
      </c>
      <c r="G20" s="669">
        <f>+'ANEXO No.1'!G20</f>
        <v>3.8175500000000012E-4</v>
      </c>
    </row>
    <row r="21" spans="2:7" x14ac:dyDescent="0.35">
      <c r="B21" s="645">
        <v>10</v>
      </c>
      <c r="C21" s="669">
        <f>+'ANEXO No.1'!C21</f>
        <v>2.2869000000000001E-3</v>
      </c>
      <c r="D21" s="669">
        <f>+'ANEXO No.1'!D21</f>
        <v>1.4278000000000003E-3</v>
      </c>
      <c r="E21" s="669">
        <f>+'ANEXO No.1'!E21</f>
        <v>6.9937999999999999E-4</v>
      </c>
      <c r="F21" s="669">
        <f>+'ANEXO No.1'!F21</f>
        <v>5.5902000000000013E-4</v>
      </c>
      <c r="G21" s="669">
        <f>+'ANEXO No.1'!G21</f>
        <v>3.8175500000000012E-4</v>
      </c>
    </row>
    <row r="22" spans="2:7" x14ac:dyDescent="0.35">
      <c r="B22" s="645">
        <v>11</v>
      </c>
      <c r="C22" s="669">
        <f>+'ANEXO No.1'!C22</f>
        <v>2.2869000000000001E-3</v>
      </c>
      <c r="D22" s="669">
        <f>+'ANEXO No.1'!D22</f>
        <v>1.4278000000000003E-3</v>
      </c>
      <c r="E22" s="669">
        <f>+'ANEXO No.1'!E22</f>
        <v>6.9937999999999999E-4</v>
      </c>
      <c r="F22" s="669">
        <f>+'ANEXO No.1'!F22</f>
        <v>5.5902000000000013E-4</v>
      </c>
      <c r="G22" s="669">
        <f>+'ANEXO No.1'!G22</f>
        <v>3.8175500000000012E-4</v>
      </c>
    </row>
    <row r="23" spans="2:7" x14ac:dyDescent="0.35">
      <c r="B23" s="645">
        <v>12</v>
      </c>
      <c r="C23" s="669">
        <f>+'ANEXO No.1'!C23</f>
        <v>2.2869000000000001E-3</v>
      </c>
      <c r="D23" s="669">
        <f>+'ANEXO No.1'!D23</f>
        <v>1.4278000000000003E-3</v>
      </c>
      <c r="E23" s="669">
        <f>+'ANEXO No.1'!E23</f>
        <v>6.9937999999999999E-4</v>
      </c>
      <c r="F23" s="669">
        <f>+'ANEXO No.1'!F23</f>
        <v>5.5902000000000013E-4</v>
      </c>
      <c r="G23" s="669">
        <f>+'ANEXO No.1'!G23</f>
        <v>3.8175500000000012E-4</v>
      </c>
    </row>
    <row r="24" spans="2:7" x14ac:dyDescent="0.35">
      <c r="B24" s="645">
        <v>13</v>
      </c>
      <c r="C24" s="669">
        <f>+'ANEXO No.1'!C24</f>
        <v>2.2869000000000001E-3</v>
      </c>
      <c r="D24" s="669">
        <f>+'ANEXO No.1'!D24</f>
        <v>1.4278000000000003E-3</v>
      </c>
      <c r="E24" s="669">
        <f>+'ANEXO No.1'!E24</f>
        <v>6.9937999999999999E-4</v>
      </c>
      <c r="F24" s="669">
        <f>+'ANEXO No.1'!F24</f>
        <v>5.5902000000000013E-4</v>
      </c>
      <c r="G24" s="669">
        <f>+'ANEXO No.1'!G24</f>
        <v>3.8175500000000012E-4</v>
      </c>
    </row>
    <row r="25" spans="2:7" x14ac:dyDescent="0.35">
      <c r="B25" s="645">
        <v>14</v>
      </c>
      <c r="C25" s="669">
        <f>+'ANEXO No.1'!C25</f>
        <v>2.2869000000000001E-3</v>
      </c>
      <c r="D25" s="669">
        <f>+'ANEXO No.1'!D25</f>
        <v>1.4278000000000003E-3</v>
      </c>
      <c r="E25" s="669">
        <f>+'ANEXO No.1'!E25</f>
        <v>6.9937999999999999E-4</v>
      </c>
      <c r="F25" s="669">
        <f>+'ANEXO No.1'!F25</f>
        <v>5.5902000000000013E-4</v>
      </c>
      <c r="G25" s="669">
        <f>+'ANEXO No.1'!G25</f>
        <v>3.8175500000000012E-4</v>
      </c>
    </row>
    <row r="26" spans="2:7" x14ac:dyDescent="0.35">
      <c r="B26" s="645">
        <v>15</v>
      </c>
      <c r="C26" s="669">
        <f>+'ANEXO No.1'!C26</f>
        <v>2.2869000000000001E-3</v>
      </c>
      <c r="D26" s="669">
        <f>+'ANEXO No.1'!D26</f>
        <v>1.4278000000000003E-3</v>
      </c>
      <c r="E26" s="669">
        <f>+'ANEXO No.1'!E26</f>
        <v>6.9937999999999999E-4</v>
      </c>
      <c r="F26" s="669">
        <f>+'ANEXO No.1'!F26</f>
        <v>5.5902000000000013E-4</v>
      </c>
      <c r="G26" s="669">
        <f>+'ANEXO No.1'!G26</f>
        <v>3.8175500000000012E-4</v>
      </c>
    </row>
    <row r="27" spans="2:7" x14ac:dyDescent="0.35">
      <c r="B27" s="645">
        <v>16</v>
      </c>
      <c r="C27" s="669">
        <f>+'ANEXO No.1'!C27</f>
        <v>2.2869000000000001E-3</v>
      </c>
      <c r="D27" s="669">
        <f>+'ANEXO No.1'!D27</f>
        <v>1.4278000000000003E-3</v>
      </c>
      <c r="E27" s="669">
        <f>+'ANEXO No.1'!E27</f>
        <v>6.9937999999999999E-4</v>
      </c>
      <c r="F27" s="669">
        <f>+'ANEXO No.1'!F27</f>
        <v>5.5902000000000013E-4</v>
      </c>
      <c r="G27" s="669">
        <f>+'ANEXO No.1'!G27</f>
        <v>3.8175500000000012E-4</v>
      </c>
    </row>
    <row r="28" spans="2:7" x14ac:dyDescent="0.35">
      <c r="B28" s="645">
        <v>17</v>
      </c>
      <c r="C28" s="669">
        <f>+'ANEXO No.1'!C28</f>
        <v>2.2869000000000001E-3</v>
      </c>
      <c r="D28" s="669">
        <f>+'ANEXO No.1'!D28</f>
        <v>1.4278000000000003E-3</v>
      </c>
      <c r="E28" s="669">
        <f>+'ANEXO No.1'!E28</f>
        <v>6.9937999999999999E-4</v>
      </c>
      <c r="F28" s="669">
        <f>+'ANEXO No.1'!F28</f>
        <v>5.5902000000000013E-4</v>
      </c>
      <c r="G28" s="669">
        <f>+'ANEXO No.1'!G28</f>
        <v>3.8175500000000012E-4</v>
      </c>
    </row>
    <row r="29" spans="2:7" x14ac:dyDescent="0.35">
      <c r="B29" s="645">
        <v>18</v>
      </c>
      <c r="C29" s="669">
        <f>+'ANEXO No.1'!C29*1.2</f>
        <v>2.74428E-3</v>
      </c>
      <c r="D29" s="669">
        <f>+'ANEXO No.1'!D29*1.2</f>
        <v>1.7133600000000004E-3</v>
      </c>
      <c r="E29" s="669">
        <f>+'ANEXO No.1'!E29*1.2</f>
        <v>8.3925599999999992E-4</v>
      </c>
      <c r="F29" s="669">
        <f>+'ANEXO No.1'!F29*1.2</f>
        <v>6.7082400000000009E-4</v>
      </c>
      <c r="G29" s="669">
        <f>+'ANEXO No.1'!G29*1.2</f>
        <v>4.5810600000000012E-4</v>
      </c>
    </row>
    <row r="30" spans="2:7" x14ac:dyDescent="0.35">
      <c r="B30" s="645">
        <f t="shared" ref="B30:B76" si="0">+B29+1</f>
        <v>19</v>
      </c>
      <c r="C30" s="669">
        <f>+'ANEXO No.1'!C30*1.15</f>
        <v>2.6299349999999999E-3</v>
      </c>
      <c r="D30" s="669">
        <f>+'ANEXO No.1'!D30*1.15</f>
        <v>1.6419700000000002E-3</v>
      </c>
      <c r="E30" s="669">
        <f>+'ANEXO No.1'!E30*1.15</f>
        <v>8.0428699999999988E-4</v>
      </c>
      <c r="F30" s="669">
        <f>+'ANEXO No.1'!F30*1.15</f>
        <v>6.4287300000000008E-4</v>
      </c>
      <c r="G30" s="669">
        <f>+'ANEXO No.1'!G30*1.15</f>
        <v>4.3901825000000009E-4</v>
      </c>
    </row>
    <row r="31" spans="2:7" x14ac:dyDescent="0.35">
      <c r="B31" s="645">
        <f t="shared" si="0"/>
        <v>20</v>
      </c>
      <c r="C31" s="669">
        <f>+'ANEXO No.1'!C31*1.15</f>
        <v>2.6299349999999999E-3</v>
      </c>
      <c r="D31" s="669">
        <f>+'ANEXO No.1'!D31*1.15</f>
        <v>1.6419700000000002E-3</v>
      </c>
      <c r="E31" s="669">
        <f>+'ANEXO No.1'!E31*1.15</f>
        <v>8.0428699999999988E-4</v>
      </c>
      <c r="F31" s="669">
        <f>+'ANEXO No.1'!F31*1.15</f>
        <v>6.4287300000000008E-4</v>
      </c>
      <c r="G31" s="669">
        <f>+'ANEXO No.1'!G31*1.15</f>
        <v>4.3901825000000009E-4</v>
      </c>
    </row>
    <row r="32" spans="2:7" x14ac:dyDescent="0.35">
      <c r="B32" s="645">
        <f t="shared" si="0"/>
        <v>21</v>
      </c>
      <c r="C32" s="669">
        <f>+'ANEXO No.1'!C32*1.15</f>
        <v>2.6299349999999999E-3</v>
      </c>
      <c r="D32" s="669">
        <f>+'ANEXO No.1'!D32*1.15</f>
        <v>1.6419700000000002E-3</v>
      </c>
      <c r="E32" s="669">
        <f>+'ANEXO No.1'!E32*1.15</f>
        <v>8.0428699999999988E-4</v>
      </c>
      <c r="F32" s="669">
        <f>+'ANEXO No.1'!F32*1.15</f>
        <v>6.4287300000000008E-4</v>
      </c>
      <c r="G32" s="669">
        <f>+'ANEXO No.1'!G32*1.15</f>
        <v>4.3901825000000009E-4</v>
      </c>
    </row>
    <row r="33" spans="2:7" x14ac:dyDescent="0.35">
      <c r="B33" s="645">
        <f t="shared" si="0"/>
        <v>22</v>
      </c>
      <c r="C33" s="669">
        <f>+'ANEXO No.1'!C33*1.15</f>
        <v>2.6299349999999999E-3</v>
      </c>
      <c r="D33" s="669">
        <f>+'ANEXO No.1'!D33*1.15</f>
        <v>1.6419700000000002E-3</v>
      </c>
      <c r="E33" s="669">
        <f>+'ANEXO No.1'!E33*1.15</f>
        <v>8.0428699999999988E-4</v>
      </c>
      <c r="F33" s="669">
        <f>+'ANEXO No.1'!F33*1.15</f>
        <v>6.4287300000000008E-4</v>
      </c>
      <c r="G33" s="669">
        <f>+'ANEXO No.1'!G33*1.15</f>
        <v>4.3901825000000009E-4</v>
      </c>
    </row>
    <row r="34" spans="2:7" x14ac:dyDescent="0.35">
      <c r="B34" s="645">
        <f t="shared" si="0"/>
        <v>23</v>
      </c>
      <c r="C34" s="669">
        <f>+'ANEXO No.1'!C34*1.15</f>
        <v>2.6299349999999999E-3</v>
      </c>
      <c r="D34" s="669">
        <f>+'ANEXO No.1'!D34*1.15</f>
        <v>1.6419700000000002E-3</v>
      </c>
      <c r="E34" s="669">
        <f>+'ANEXO No.1'!E34*1.15</f>
        <v>8.0428699999999988E-4</v>
      </c>
      <c r="F34" s="669">
        <f>+'ANEXO No.1'!F34*1.15</f>
        <v>6.4287300000000008E-4</v>
      </c>
      <c r="G34" s="669">
        <f>+'ANEXO No.1'!G34*1.15</f>
        <v>4.3901825000000009E-4</v>
      </c>
    </row>
    <row r="35" spans="2:7" x14ac:dyDescent="0.35">
      <c r="B35" s="645">
        <f t="shared" si="0"/>
        <v>24</v>
      </c>
      <c r="C35" s="669">
        <f>+'ANEXO No.1'!C35*1.15</f>
        <v>2.6299349999999999E-3</v>
      </c>
      <c r="D35" s="669">
        <f>+'ANEXO No.1'!D35*1.15</f>
        <v>1.6419700000000002E-3</v>
      </c>
      <c r="E35" s="669">
        <f>+'ANEXO No.1'!E35*1.15</f>
        <v>8.0428699999999988E-4</v>
      </c>
      <c r="F35" s="669">
        <f>+'ANEXO No.1'!F35*1.15</f>
        <v>6.4287300000000008E-4</v>
      </c>
      <c r="G35" s="669">
        <f>+'ANEXO No.1'!G35*1.15</f>
        <v>4.3901825000000009E-4</v>
      </c>
    </row>
    <row r="36" spans="2:7" x14ac:dyDescent="0.35">
      <c r="B36" s="645">
        <f t="shared" si="0"/>
        <v>25</v>
      </c>
      <c r="C36" s="669">
        <f>+'ANEXO No.1'!C36*1.15</f>
        <v>2.6299349999999999E-3</v>
      </c>
      <c r="D36" s="669">
        <f>+'ANEXO No.1'!D36*1.15</f>
        <v>1.6419700000000002E-3</v>
      </c>
      <c r="E36" s="669">
        <f>+'ANEXO No.1'!E36*1.15</f>
        <v>8.0428699999999988E-4</v>
      </c>
      <c r="F36" s="669">
        <f>+'ANEXO No.1'!F36*1.15</f>
        <v>6.4287300000000008E-4</v>
      </c>
      <c r="G36" s="669">
        <f>+'ANEXO No.1'!G36*1.15</f>
        <v>4.3901825000000009E-4</v>
      </c>
    </row>
    <row r="37" spans="2:7" x14ac:dyDescent="0.35">
      <c r="B37" s="645">
        <f t="shared" si="0"/>
        <v>26</v>
      </c>
      <c r="C37" s="669">
        <f>+'ANEXO No.1'!C37*1.15</f>
        <v>2.6299349999999999E-3</v>
      </c>
      <c r="D37" s="669">
        <f>+'ANEXO No.1'!D37*1.15</f>
        <v>1.6419700000000002E-3</v>
      </c>
      <c r="E37" s="669">
        <f>+'ANEXO No.1'!E37*1.15</f>
        <v>8.0428699999999988E-4</v>
      </c>
      <c r="F37" s="669">
        <f>+'ANEXO No.1'!F37*1.15</f>
        <v>6.4287300000000008E-4</v>
      </c>
      <c r="G37" s="669">
        <f>+'ANEXO No.1'!G37*1.15</f>
        <v>4.3901825000000009E-4</v>
      </c>
    </row>
    <row r="38" spans="2:7" x14ac:dyDescent="0.35">
      <c r="B38" s="645">
        <f t="shared" si="0"/>
        <v>27</v>
      </c>
      <c r="C38" s="673">
        <f>+'ANEXO No.1'!C38*1.15</f>
        <v>2.6299349999999999E-3</v>
      </c>
      <c r="D38" s="669">
        <f>+'ANEXO No.1'!D38*1.15</f>
        <v>1.6419700000000002E-3</v>
      </c>
      <c r="E38" s="669">
        <f>+'ANEXO No.1'!E38*1.15</f>
        <v>8.0428699999999988E-4</v>
      </c>
      <c r="F38" s="669">
        <f>+'ANEXO No.1'!F38*1.15</f>
        <v>6.4287300000000008E-4</v>
      </c>
      <c r="G38" s="669">
        <f>+'ANEXO No.1'!G38*1.15</f>
        <v>4.3901825000000009E-4</v>
      </c>
    </row>
    <row r="39" spans="2:7" x14ac:dyDescent="0.35">
      <c r="B39" s="645">
        <f t="shared" si="0"/>
        <v>28</v>
      </c>
      <c r="C39" s="669">
        <f>+'ANEXO No.1'!C39*1.15</f>
        <v>2.6299349999999999E-3</v>
      </c>
      <c r="D39" s="669">
        <f>+'ANEXO No.1'!D39*1.15</f>
        <v>1.6419700000000002E-3</v>
      </c>
      <c r="E39" s="669">
        <f>+'ANEXO No.1'!E39*1.15</f>
        <v>8.0428699999999988E-4</v>
      </c>
      <c r="F39" s="669">
        <f>+'ANEXO No.1'!F39*1.15</f>
        <v>6.4287300000000008E-4</v>
      </c>
      <c r="G39" s="669">
        <f>+'ANEXO No.1'!G39*1.15</f>
        <v>4.3901825000000009E-4</v>
      </c>
    </row>
    <row r="40" spans="2:7" x14ac:dyDescent="0.35">
      <c r="B40" s="645">
        <f t="shared" si="0"/>
        <v>29</v>
      </c>
      <c r="C40" s="669">
        <f>+'ANEXO No.1'!C40*1.15</f>
        <v>2.6299349999999999E-3</v>
      </c>
      <c r="D40" s="669">
        <f>+'ANEXO No.1'!D40*1.15</f>
        <v>1.6419700000000002E-3</v>
      </c>
      <c r="E40" s="669">
        <f>+'ANEXO No.1'!E40*1.15</f>
        <v>8.0428699999999988E-4</v>
      </c>
      <c r="F40" s="669">
        <f>+'ANEXO No.1'!F40*1.15</f>
        <v>6.4287300000000008E-4</v>
      </c>
      <c r="G40" s="669">
        <f>+'ANEXO No.1'!G40*1.15</f>
        <v>4.3901825000000009E-4</v>
      </c>
    </row>
    <row r="41" spans="2:7" x14ac:dyDescent="0.35">
      <c r="B41" s="645">
        <f t="shared" si="0"/>
        <v>30</v>
      </c>
      <c r="C41" s="669">
        <f>+'ANEXO No.1'!C41*1.15</f>
        <v>2.6299349999999999E-3</v>
      </c>
      <c r="D41" s="669">
        <f>+'ANEXO No.1'!D41*1.15</f>
        <v>1.6419700000000002E-3</v>
      </c>
      <c r="E41" s="669">
        <f>+'ANEXO No.1'!E41*1.15</f>
        <v>8.0428699999999988E-4</v>
      </c>
      <c r="F41" s="669">
        <f>+'ANEXO No.1'!F41*1.15</f>
        <v>6.4287300000000008E-4</v>
      </c>
      <c r="G41" s="669">
        <f>+'ANEXO No.1'!G41*1.15</f>
        <v>4.3901825000000009E-4</v>
      </c>
    </row>
    <row r="42" spans="2:7" x14ac:dyDescent="0.35">
      <c r="B42" s="645">
        <f t="shared" si="0"/>
        <v>31</v>
      </c>
      <c r="C42" s="669">
        <f>+'ANEXO No.1'!C42*1.15</f>
        <v>2.7245570000000003E-3</v>
      </c>
      <c r="D42" s="669">
        <f>+'ANEXO No.1'!D42*1.15</f>
        <v>1.6934555000000001E-3</v>
      </c>
      <c r="E42" s="669">
        <f>+'ANEXO No.1'!E42*1.15</f>
        <v>8.335084999999999E-4</v>
      </c>
      <c r="F42" s="669">
        <f>+'ANEXO No.1'!F42*1.15</f>
        <v>6.6625020000000014E-4</v>
      </c>
      <c r="G42" s="669">
        <f>+'ANEXO No.1'!G42*1.15</f>
        <v>4.5495092500000013E-4</v>
      </c>
    </row>
    <row r="43" spans="2:7" x14ac:dyDescent="0.35">
      <c r="B43" s="645">
        <f t="shared" si="0"/>
        <v>32</v>
      </c>
      <c r="C43" s="669">
        <f>+'ANEXO No.1'!C43*1.15</f>
        <v>2.8191790000000002E-3</v>
      </c>
      <c r="D43" s="669">
        <f>+'ANEXO No.1'!D43*1.15</f>
        <v>1.7449410000000001E-3</v>
      </c>
      <c r="E43" s="669">
        <f>+'ANEXO No.1'!E43*1.15</f>
        <v>8.6272999999999992E-4</v>
      </c>
      <c r="F43" s="669">
        <f>+'ANEXO No.1'!F43*1.15</f>
        <v>6.8962740000000008E-4</v>
      </c>
      <c r="G43" s="669">
        <f>+'ANEXO No.1'!G43*1.15</f>
        <v>4.7088360000000011E-4</v>
      </c>
    </row>
    <row r="44" spans="2:7" x14ac:dyDescent="0.35">
      <c r="B44" s="645">
        <f t="shared" si="0"/>
        <v>33</v>
      </c>
      <c r="C44" s="669">
        <f>+'ANEXO No.1'!C44*1.15</f>
        <v>2.9138010000000002E-3</v>
      </c>
      <c r="D44" s="669">
        <f>+'ANEXO No.1'!D44*1.15</f>
        <v>1.7964265000000002E-3</v>
      </c>
      <c r="E44" s="669">
        <f>+'ANEXO No.1'!E44*1.15</f>
        <v>8.9195149999999994E-4</v>
      </c>
      <c r="F44" s="669">
        <f>+'ANEXO No.1'!F44*1.15</f>
        <v>7.1300460000000014E-4</v>
      </c>
      <c r="G44" s="669">
        <f>+'ANEXO No.1'!G44*1.15</f>
        <v>4.8681627500000009E-4</v>
      </c>
    </row>
    <row r="45" spans="2:7" x14ac:dyDescent="0.35">
      <c r="B45" s="645">
        <f t="shared" si="0"/>
        <v>34</v>
      </c>
      <c r="C45" s="669">
        <f>+'ANEXO No.1'!C45*1.15</f>
        <v>3.0084230000000005E-3</v>
      </c>
      <c r="D45" s="669">
        <f>+'ANEXO No.1'!D45*1.15</f>
        <v>1.8479120000000002E-3</v>
      </c>
      <c r="E45" s="669">
        <f>+'ANEXO No.1'!E45*1.15</f>
        <v>9.2117299999999996E-4</v>
      </c>
      <c r="F45" s="669">
        <f>+'ANEXO No.1'!F45*1.15</f>
        <v>7.363818000000002E-4</v>
      </c>
      <c r="G45" s="669">
        <f>+'ANEXO No.1'!G45*1.15</f>
        <v>5.0274895000000013E-4</v>
      </c>
    </row>
    <row r="46" spans="2:7" x14ac:dyDescent="0.35">
      <c r="B46" s="645">
        <f t="shared" si="0"/>
        <v>35</v>
      </c>
      <c r="C46" s="669">
        <f>+'ANEXO No.1'!C46*1.15</f>
        <v>3.1030450000000005E-3</v>
      </c>
      <c r="D46" s="669">
        <f>+'ANEXO No.1'!D46*1.15</f>
        <v>1.8993975000000001E-3</v>
      </c>
      <c r="E46" s="669">
        <f>+'ANEXO No.1'!E46*1.15</f>
        <v>9.5039449999999998E-4</v>
      </c>
      <c r="F46" s="669">
        <f>+'ANEXO No.1'!F46*1.15</f>
        <v>7.5975900000000015E-4</v>
      </c>
      <c r="G46" s="669">
        <f>+'ANEXO No.1'!G46*1.15</f>
        <v>5.1868162500000011E-4</v>
      </c>
    </row>
    <row r="47" spans="2:7" x14ac:dyDescent="0.35">
      <c r="B47" s="645">
        <f t="shared" si="0"/>
        <v>36</v>
      </c>
      <c r="C47" s="669">
        <f>+'ANEXO No.1'!C47*1.15</f>
        <v>3.1976670000000008E-3</v>
      </c>
      <c r="D47" s="669">
        <f>+'ANEXO No.1'!D47*1.15</f>
        <v>1.950883E-3</v>
      </c>
      <c r="E47" s="669">
        <f>+'ANEXO No.1'!E47*1.15</f>
        <v>9.7961599999999999E-4</v>
      </c>
      <c r="F47" s="669">
        <f>+'ANEXO No.1'!F47*1.15</f>
        <v>7.8313620000000021E-4</v>
      </c>
      <c r="G47" s="669">
        <f>+'ANEXO No.1'!G47*1.15</f>
        <v>5.3461430000000009E-4</v>
      </c>
    </row>
    <row r="48" spans="2:7" x14ac:dyDescent="0.35">
      <c r="B48" s="645">
        <f t="shared" si="0"/>
        <v>37</v>
      </c>
      <c r="C48" s="669">
        <f>+'ANEXO No.1'!C48*1.15</f>
        <v>3.2922890000000008E-3</v>
      </c>
      <c r="D48" s="669">
        <f>+'ANEXO No.1'!D48*1.15</f>
        <v>2.0023684999999998E-3</v>
      </c>
      <c r="E48" s="669">
        <f>+'ANEXO No.1'!E48*1.15</f>
        <v>1.0088375E-3</v>
      </c>
      <c r="F48" s="669">
        <f>+'ANEXO No.1'!F48*1.15</f>
        <v>8.0651340000000016E-4</v>
      </c>
      <c r="G48" s="669">
        <f>+'ANEXO No.1'!G48*1.15</f>
        <v>5.5054697500000007E-4</v>
      </c>
    </row>
    <row r="49" spans="2:7" x14ac:dyDescent="0.35">
      <c r="B49" s="645">
        <f t="shared" si="0"/>
        <v>38</v>
      </c>
      <c r="C49" s="669">
        <f>+'ANEXO No.1'!C49*1.15</f>
        <v>3.3869110000000011E-3</v>
      </c>
      <c r="D49" s="669">
        <f>+'ANEXO No.1'!D49*1.15</f>
        <v>2.0538539999999999E-3</v>
      </c>
      <c r="E49" s="669">
        <f>+'ANEXO No.1'!E49*1.15</f>
        <v>1.038059E-3</v>
      </c>
      <c r="F49" s="669">
        <f>+'ANEXO No.1'!F49*1.15</f>
        <v>8.2989060000000022E-4</v>
      </c>
      <c r="G49" s="669">
        <f>+'ANEXO No.1'!G49*1.15</f>
        <v>5.6647965000000005E-4</v>
      </c>
    </row>
    <row r="50" spans="2:7" x14ac:dyDescent="0.35">
      <c r="B50" s="645">
        <f t="shared" si="0"/>
        <v>39</v>
      </c>
      <c r="C50" s="669">
        <f>+'ANEXO No.1'!C50*1.15</f>
        <v>3.4815330000000011E-3</v>
      </c>
      <c r="D50" s="669">
        <f>+'ANEXO No.1'!D50*1.15</f>
        <v>2.1053395000000001E-3</v>
      </c>
      <c r="E50" s="669">
        <f>+'ANEXO No.1'!E50*1.15</f>
        <v>1.0672805E-3</v>
      </c>
      <c r="F50" s="669">
        <f>+'ANEXO No.1'!F50*1.15</f>
        <v>8.5326780000000017E-4</v>
      </c>
      <c r="G50" s="669">
        <f>+'ANEXO No.1'!G50*1.15</f>
        <v>5.8241232500000004E-4</v>
      </c>
    </row>
    <row r="51" spans="2:7" x14ac:dyDescent="0.35">
      <c r="B51" s="645">
        <f t="shared" si="0"/>
        <v>40</v>
      </c>
      <c r="C51" s="669">
        <f>+'ANEXO No.1'!C51*1.15</f>
        <v>3.576155000000001E-3</v>
      </c>
      <c r="D51" s="669">
        <f>+'ANEXO No.1'!D51*1.15</f>
        <v>2.1568249999999998E-3</v>
      </c>
      <c r="E51" s="669">
        <f>+'ANEXO No.1'!E51*1.15</f>
        <v>1.0965020000000001E-3</v>
      </c>
      <c r="F51" s="669">
        <f>+'ANEXO No.1'!F51*1.15</f>
        <v>8.7664500000000022E-4</v>
      </c>
      <c r="G51" s="669">
        <f>+'ANEXO No.1'!G51*1.15</f>
        <v>5.9834500000000002E-4</v>
      </c>
    </row>
    <row r="52" spans="2:7" x14ac:dyDescent="0.35">
      <c r="B52" s="645">
        <f t="shared" si="0"/>
        <v>41</v>
      </c>
      <c r="C52" s="669">
        <f>+'ANEXO No.1'!C52*1.15</f>
        <v>3.6930410000000011E-3</v>
      </c>
      <c r="D52" s="669">
        <f>+'ANEXO No.1'!D52*1.15</f>
        <v>2.2222255000000002E-3</v>
      </c>
      <c r="E52" s="669">
        <f>+'ANEXO No.1'!E52*1.15</f>
        <v>1.1329593000000001E-3</v>
      </c>
      <c r="F52" s="669">
        <f>+'ANEXO No.1'!F52*1.15</f>
        <v>9.0586650000000024E-4</v>
      </c>
      <c r="G52" s="669">
        <f>+'ANEXO No.1'!G52*1.15</f>
        <v>6.1831302500000001E-4</v>
      </c>
    </row>
    <row r="53" spans="2:7" x14ac:dyDescent="0.35">
      <c r="B53" s="645">
        <f t="shared" si="0"/>
        <v>42</v>
      </c>
      <c r="C53" s="669">
        <f>+'ANEXO No.1'!C53*1.15</f>
        <v>3.8099270000000011E-3</v>
      </c>
      <c r="D53" s="669">
        <f>+'ANEXO No.1'!D53*1.15</f>
        <v>2.2876260000000001E-3</v>
      </c>
      <c r="E53" s="669">
        <f>+'ANEXO No.1'!E53*1.15</f>
        <v>1.1694166000000001E-3</v>
      </c>
      <c r="F53" s="669">
        <f>+'ANEXO No.1'!F53*1.15</f>
        <v>9.3508800000000026E-4</v>
      </c>
      <c r="G53" s="669">
        <f>+'ANEXO No.1'!G53*1.15</f>
        <v>6.3828105E-4</v>
      </c>
    </row>
    <row r="54" spans="2:7" x14ac:dyDescent="0.35">
      <c r="B54" s="645">
        <f t="shared" si="0"/>
        <v>43</v>
      </c>
      <c r="C54" s="669">
        <f>+'ANEXO No.1'!C54*1.15</f>
        <v>3.9268130000000012E-3</v>
      </c>
      <c r="D54" s="669">
        <f>+'ANEXO No.1'!D54*1.15</f>
        <v>2.3530265E-3</v>
      </c>
      <c r="E54" s="669">
        <f>+'ANEXO No.1'!E54*1.15</f>
        <v>1.2058739000000002E-3</v>
      </c>
      <c r="F54" s="669">
        <f>+'ANEXO No.1'!F54*1.15</f>
        <v>9.6430950000000028E-4</v>
      </c>
      <c r="G54" s="669">
        <f>+'ANEXO No.1'!G54*1.15</f>
        <v>6.5824907499999999E-4</v>
      </c>
    </row>
    <row r="55" spans="2:7" x14ac:dyDescent="0.35">
      <c r="B55" s="645">
        <f t="shared" si="0"/>
        <v>44</v>
      </c>
      <c r="C55" s="669">
        <f>+'ANEXO No.1'!C55*1.15</f>
        <v>4.0436990000000013E-3</v>
      </c>
      <c r="D55" s="669">
        <f>+'ANEXO No.1'!D55*1.15</f>
        <v>2.4184270000000003E-3</v>
      </c>
      <c r="E55" s="669">
        <f>+'ANEXO No.1'!E55*1.15</f>
        <v>1.2423312000000002E-3</v>
      </c>
      <c r="F55" s="669">
        <f>+'ANEXO No.1'!F55*1.15</f>
        <v>9.9353100000000019E-4</v>
      </c>
      <c r="G55" s="669">
        <f>+'ANEXO No.1'!G55*1.15</f>
        <v>6.7821709999999998E-4</v>
      </c>
    </row>
    <row r="56" spans="2:7" x14ac:dyDescent="0.35">
      <c r="B56" s="645">
        <f t="shared" si="0"/>
        <v>45</v>
      </c>
      <c r="C56" s="669">
        <f>+'ANEXO No.1'!C56*1.15</f>
        <v>4.1605850000000014E-3</v>
      </c>
      <c r="D56" s="669">
        <f>+'ANEXO No.1'!D56*1.15</f>
        <v>2.4838275000000003E-3</v>
      </c>
      <c r="E56" s="669">
        <f>+'ANEXO No.1'!E56*1.15</f>
        <v>1.2787885000000001E-3</v>
      </c>
      <c r="F56" s="669">
        <f>+'ANEXO No.1'!F56*1.15</f>
        <v>1.0227525000000002E-3</v>
      </c>
      <c r="G56" s="669">
        <f>+'ANEXO No.1'!G56*1.15</f>
        <v>6.9818512500000008E-4</v>
      </c>
    </row>
    <row r="57" spans="2:7" x14ac:dyDescent="0.35">
      <c r="B57" s="645">
        <f t="shared" si="0"/>
        <v>46</v>
      </c>
      <c r="C57" s="669">
        <f>+'ANEXO No.1'!C57*1.15</f>
        <v>4.2774710000000014E-3</v>
      </c>
      <c r="D57" s="669">
        <f>+'ANEXO No.1'!D57*1.15</f>
        <v>2.5492280000000006E-3</v>
      </c>
      <c r="E57" s="669">
        <f>+'ANEXO No.1'!E57*1.15</f>
        <v>1.3152458000000001E-3</v>
      </c>
      <c r="F57" s="669">
        <f>+'ANEXO No.1'!F57*1.15</f>
        <v>1.0519740000000002E-3</v>
      </c>
      <c r="G57" s="669">
        <f>+'ANEXO No.1'!G57*1.15</f>
        <v>7.1815315000000007E-4</v>
      </c>
    </row>
    <row r="58" spans="2:7" x14ac:dyDescent="0.35">
      <c r="B58" s="645">
        <f t="shared" si="0"/>
        <v>47</v>
      </c>
      <c r="C58" s="669">
        <f>+'ANEXO No.1'!C58*1.15</f>
        <v>4.3943570000000015E-3</v>
      </c>
      <c r="D58" s="669">
        <f>+'ANEXO No.1'!D58*1.15</f>
        <v>2.6146285000000005E-3</v>
      </c>
      <c r="E58" s="669">
        <f>+'ANEXO No.1'!E58*1.15</f>
        <v>1.3517031000000001E-3</v>
      </c>
      <c r="F58" s="669">
        <f>+'ANEXO No.1'!F58*1.15</f>
        <v>1.0811955000000002E-3</v>
      </c>
      <c r="G58" s="669">
        <f>+'ANEXO No.1'!G58*1.15</f>
        <v>7.3812117500000006E-4</v>
      </c>
    </row>
    <row r="59" spans="2:7" x14ac:dyDescent="0.35">
      <c r="B59" s="645">
        <f t="shared" si="0"/>
        <v>48</v>
      </c>
      <c r="C59" s="669">
        <f>+'ANEXO No.1'!C59*1.15</f>
        <v>4.5112430000000016E-3</v>
      </c>
      <c r="D59" s="669">
        <f>+'ANEXO No.1'!D59*1.15</f>
        <v>2.6800290000000009E-3</v>
      </c>
      <c r="E59" s="669">
        <f>+'ANEXO No.1'!E59*1.15</f>
        <v>1.3881604000000002E-3</v>
      </c>
      <c r="F59" s="669">
        <f>+'ANEXO No.1'!F59*1.15</f>
        <v>1.1104170000000003E-3</v>
      </c>
      <c r="G59" s="669">
        <f>+'ANEXO No.1'!G59*1.15</f>
        <v>7.5808920000000005E-4</v>
      </c>
    </row>
    <row r="60" spans="2:7" x14ac:dyDescent="0.35">
      <c r="B60" s="645">
        <f t="shared" si="0"/>
        <v>49</v>
      </c>
      <c r="C60" s="669">
        <f>+'ANEXO No.1'!C60*1.15</f>
        <v>4.6281290000000017E-3</v>
      </c>
      <c r="D60" s="669">
        <f>+'ANEXO No.1'!D60*1.15</f>
        <v>2.7454295000000008E-3</v>
      </c>
      <c r="E60" s="669">
        <f>+'ANEXO No.1'!E60*1.15</f>
        <v>1.4246177E-3</v>
      </c>
      <c r="F60" s="669">
        <f>+'ANEXO No.1'!F60*1.15</f>
        <v>1.1396385000000003E-3</v>
      </c>
      <c r="G60" s="669">
        <f>+'ANEXO No.1'!G60*1.15</f>
        <v>7.7805722500000004E-4</v>
      </c>
    </row>
    <row r="61" spans="2:7" x14ac:dyDescent="0.35">
      <c r="B61" s="645">
        <f t="shared" si="0"/>
        <v>50</v>
      </c>
      <c r="C61" s="669">
        <f>+'ANEXO No.1'!C61*1.15</f>
        <v>4.7450150000000017E-3</v>
      </c>
      <c r="D61" s="669">
        <f>+'ANEXO No.1'!D61*1.15</f>
        <v>2.8108300000000007E-3</v>
      </c>
      <c r="E61" s="669">
        <f>+'ANEXO No.1'!E61*1.15</f>
        <v>1.461075E-3</v>
      </c>
      <c r="F61" s="669">
        <f>+'ANEXO No.1'!F61*1.15</f>
        <v>1.1688600000000003E-3</v>
      </c>
      <c r="G61" s="669">
        <f>+'ANEXO No.1'!G61*1.15</f>
        <v>7.9802525000000003E-4</v>
      </c>
    </row>
    <row r="62" spans="2:7" x14ac:dyDescent="0.35">
      <c r="B62" s="645">
        <f t="shared" si="0"/>
        <v>51</v>
      </c>
      <c r="C62" s="669">
        <f>+'ANEXO No.1'!C62*1.15</f>
        <v>4.9871360000000014E-3</v>
      </c>
      <c r="D62" s="669">
        <f>+'ANEXO No.1'!D62*1.15</f>
        <v>2.9388480000000008E-3</v>
      </c>
      <c r="E62" s="669">
        <f>+'ANEXO No.1'!E62*1.15</f>
        <v>1.5342679000000003E-3</v>
      </c>
      <c r="F62" s="669">
        <f>+'ANEXO No.1'!F62*1.15</f>
        <v>1.2274421500000005E-3</v>
      </c>
      <c r="G62" s="669">
        <f>+'ANEXO No.1'!G62*1.15</f>
        <v>8.4596242500000005E-4</v>
      </c>
    </row>
    <row r="63" spans="2:7" x14ac:dyDescent="0.35">
      <c r="B63" s="645">
        <f t="shared" si="0"/>
        <v>52</v>
      </c>
      <c r="C63" s="669">
        <f>+'ANEXO No.1'!C63*1.15</f>
        <v>5.2292570000000019E-3</v>
      </c>
      <c r="D63" s="669">
        <f>+'ANEXO No.1'!D63*1.15</f>
        <v>3.0668660000000006E-3</v>
      </c>
      <c r="E63" s="669">
        <f>+'ANEXO No.1'!E63*1.15</f>
        <v>1.6074608000000003E-3</v>
      </c>
      <c r="F63" s="669">
        <f>+'ANEXO No.1'!F63*1.15</f>
        <v>1.2860243000000005E-3</v>
      </c>
      <c r="G63" s="669">
        <f>+'ANEXO No.1'!G63*1.15</f>
        <v>8.9389960000000007E-4</v>
      </c>
    </row>
    <row r="64" spans="2:7" x14ac:dyDescent="0.35">
      <c r="B64" s="645">
        <f t="shared" si="0"/>
        <v>53</v>
      </c>
      <c r="C64" s="669">
        <f>+'ANEXO No.1'!C64*1.15</f>
        <v>5.4713780000000024E-3</v>
      </c>
      <c r="D64" s="669">
        <f>+'ANEXO No.1'!D64*1.15</f>
        <v>3.1948840000000003E-3</v>
      </c>
      <c r="E64" s="669">
        <f>+'ANEXO No.1'!E64*1.15</f>
        <v>1.6806537000000003E-3</v>
      </c>
      <c r="F64" s="669">
        <f>+'ANEXO No.1'!F64*1.15</f>
        <v>1.3446064500000007E-3</v>
      </c>
      <c r="G64" s="669">
        <f>+'ANEXO No.1'!G64*1.15</f>
        <v>9.4183677500000009E-4</v>
      </c>
    </row>
    <row r="65" spans="2:7" x14ac:dyDescent="0.35">
      <c r="B65" s="645">
        <f t="shared" si="0"/>
        <v>54</v>
      </c>
      <c r="C65" s="669">
        <f>+'ANEXO No.1'!C65*1.15</f>
        <v>5.713499000000003E-3</v>
      </c>
      <c r="D65" s="669">
        <f>+'ANEXO No.1'!D65*1.15</f>
        <v>3.322902E-3</v>
      </c>
      <c r="E65" s="669">
        <f>+'ANEXO No.1'!E65*1.15</f>
        <v>1.7538466000000005E-3</v>
      </c>
      <c r="F65" s="669">
        <f>+'ANEXO No.1'!F65*1.15</f>
        <v>1.4031886000000007E-3</v>
      </c>
      <c r="G65" s="669">
        <f>+'ANEXO No.1'!G65*1.15</f>
        <v>9.8977395000000011E-4</v>
      </c>
    </row>
    <row r="66" spans="2:7" x14ac:dyDescent="0.35">
      <c r="B66" s="645">
        <f t="shared" si="0"/>
        <v>55</v>
      </c>
      <c r="C66" s="669">
        <f>+'ANEXO No.1'!C66*1.15</f>
        <v>5.9556200000000035E-3</v>
      </c>
      <c r="D66" s="669">
        <f>+'ANEXO No.1'!D66*1.15</f>
        <v>3.4509199999999997E-3</v>
      </c>
      <c r="E66" s="669">
        <f>+'ANEXO No.1'!E66*1.15</f>
        <v>1.8270395000000005E-3</v>
      </c>
      <c r="F66" s="669">
        <f>+'ANEXO No.1'!F66*1.15</f>
        <v>1.4617707500000009E-3</v>
      </c>
      <c r="G66" s="669">
        <f>+'ANEXO No.1'!G66*1.15</f>
        <v>1.0377111250000001E-3</v>
      </c>
    </row>
    <row r="67" spans="2:7" x14ac:dyDescent="0.35">
      <c r="B67" s="645">
        <f t="shared" si="0"/>
        <v>56</v>
      </c>
      <c r="C67" s="669">
        <f>+'ANEXO No.1'!C67*1.15</f>
        <v>6.197741000000004E-3</v>
      </c>
      <c r="D67" s="669">
        <f>+'ANEXO No.1'!D67*1.15</f>
        <v>3.5789379999999998E-3</v>
      </c>
      <c r="E67" s="669">
        <f>+'ANEXO No.1'!E67*1.15</f>
        <v>1.9002324000000007E-3</v>
      </c>
      <c r="F67" s="669">
        <f>+'ANEXO No.1'!F67*1.15</f>
        <v>1.5203529000000009E-3</v>
      </c>
      <c r="G67" s="669">
        <f>+'ANEXO No.1'!G67*1.15</f>
        <v>1.0856483000000001E-3</v>
      </c>
    </row>
    <row r="68" spans="2:7" x14ac:dyDescent="0.35">
      <c r="B68" s="645">
        <f t="shared" si="0"/>
        <v>57</v>
      </c>
      <c r="C68" s="669">
        <f>+'ANEXO No.1'!C68*1.15</f>
        <v>6.4398620000000045E-3</v>
      </c>
      <c r="D68" s="669">
        <f>+'ANEXO No.1'!D68*1.15</f>
        <v>3.7069559999999995E-3</v>
      </c>
      <c r="E68" s="669">
        <f>+'ANEXO No.1'!E68*1.15</f>
        <v>1.973425300000001E-3</v>
      </c>
      <c r="F68" s="669">
        <f>+'ANEXO No.1'!F68*1.15</f>
        <v>1.5789350500000012E-3</v>
      </c>
      <c r="G68" s="669">
        <f>+'ANEXO No.1'!G68*1.15</f>
        <v>1.1335854750000002E-3</v>
      </c>
    </row>
    <row r="69" spans="2:7" x14ac:dyDescent="0.35">
      <c r="B69" s="645">
        <f t="shared" si="0"/>
        <v>58</v>
      </c>
      <c r="C69" s="669">
        <f>+'ANEXO No.1'!C69*1.15</f>
        <v>6.6819830000000051E-3</v>
      </c>
      <c r="D69" s="669">
        <f>+'ANEXO No.1'!D69*1.15</f>
        <v>3.8349739999999992E-3</v>
      </c>
      <c r="E69" s="669">
        <f>+'ANEXO No.1'!E69*1.15</f>
        <v>2.046618200000001E-3</v>
      </c>
      <c r="F69" s="669">
        <f>+'ANEXO No.1'!F69*1.15</f>
        <v>1.6375172000000012E-3</v>
      </c>
      <c r="G69" s="669">
        <f>+'ANEXO No.1'!G69*1.15</f>
        <v>1.1815226500000002E-3</v>
      </c>
    </row>
    <row r="70" spans="2:7" x14ac:dyDescent="0.35">
      <c r="B70" s="645">
        <f t="shared" si="0"/>
        <v>59</v>
      </c>
      <c r="C70" s="669">
        <f>+'ANEXO No.1'!C70*1.15</f>
        <v>6.9241040000000047E-3</v>
      </c>
      <c r="D70" s="669">
        <f>+'ANEXO No.1'!D70*1.15</f>
        <v>3.9629919999999994E-3</v>
      </c>
      <c r="E70" s="669">
        <f>+'ANEXO No.1'!E70*1.15</f>
        <v>2.119811100000001E-3</v>
      </c>
      <c r="F70" s="669">
        <f>+'ANEXO No.1'!F70*1.15</f>
        <v>1.6960993500000014E-3</v>
      </c>
      <c r="G70" s="669">
        <f>+'ANEXO No.1'!G70*1.15</f>
        <v>1.229459825E-3</v>
      </c>
    </row>
    <row r="71" spans="2:7" x14ac:dyDescent="0.35">
      <c r="B71" s="645">
        <f t="shared" si="0"/>
        <v>60</v>
      </c>
      <c r="C71" s="669">
        <f>+'ANEXO No.1'!C71*1.15</f>
        <v>7.1662250000000052E-3</v>
      </c>
      <c r="D71" s="669">
        <f>+'ANEXO No.1'!D71*1.15</f>
        <v>4.0910099999999991E-3</v>
      </c>
      <c r="E71" s="669">
        <f>+'ANEXO No.1'!E71*1.15</f>
        <v>2.193004000000001E-3</v>
      </c>
      <c r="F71" s="669">
        <f>+'ANEXO No.1'!F71*1.15</f>
        <v>1.7546815000000014E-3</v>
      </c>
      <c r="G71" s="669">
        <f>+'ANEXO No.1'!G71*1.15</f>
        <v>1.277397E-3</v>
      </c>
    </row>
    <row r="72" spans="2:7" x14ac:dyDescent="0.35">
      <c r="B72" s="645">
        <f t="shared" si="0"/>
        <v>61</v>
      </c>
      <c r="C72" s="669">
        <f>+'ANEXO No.1'!C72*1.15</f>
        <v>7.3812117500000052E-3</v>
      </c>
      <c r="D72" s="669">
        <f>+'ANEXO No.1'!D72*1.15</f>
        <v>4.2137402999999985E-3</v>
      </c>
      <c r="E72" s="669">
        <f>+'ANEXO No.1'!E72*1.15</f>
        <v>2.2587941200000014E-3</v>
      </c>
      <c r="F72" s="669">
        <f>+'ANEXO No.1'!F72*1.15</f>
        <v>1.8073219450000014E-3</v>
      </c>
      <c r="G72" s="669">
        <f>+'ANEXO No.1'!G72*1.15</f>
        <v>1.3157189099999998E-3</v>
      </c>
    </row>
    <row r="73" spans="2:7" x14ac:dyDescent="0.35">
      <c r="B73" s="645">
        <f t="shared" si="0"/>
        <v>62</v>
      </c>
      <c r="C73" s="669">
        <f>+'ANEXO No.1'!C73*1.15</f>
        <v>7.5961985000000051E-3</v>
      </c>
      <c r="D73" s="669">
        <f>+'ANEXO No.1'!D73*1.15</f>
        <v>4.3364705999999987E-3</v>
      </c>
      <c r="E73" s="669">
        <f>+'ANEXO No.1'!E73*1.15</f>
        <v>2.324584240000001E-3</v>
      </c>
      <c r="F73" s="669">
        <f>+'ANEXO No.1'!F73*1.15</f>
        <v>1.8599623900000014E-3</v>
      </c>
      <c r="G73" s="669">
        <f>+'ANEXO No.1'!G73*1.15</f>
        <v>1.3540408199999999E-3</v>
      </c>
    </row>
    <row r="74" spans="2:7" x14ac:dyDescent="0.35">
      <c r="B74" s="645">
        <f t="shared" si="0"/>
        <v>63</v>
      </c>
      <c r="C74" s="669">
        <f>+'ANEXO No.1'!C74*1.15</f>
        <v>7.8111852500000051E-3</v>
      </c>
      <c r="D74" s="669">
        <f>+'ANEXO No.1'!D74*1.15</f>
        <v>4.459200899999999E-3</v>
      </c>
      <c r="E74" s="669">
        <f>+'ANEXO No.1'!E74*1.15</f>
        <v>2.390374360000001E-3</v>
      </c>
      <c r="F74" s="669">
        <f>+'ANEXO No.1'!F74*1.15</f>
        <v>1.9126028350000017E-3</v>
      </c>
      <c r="G74" s="669">
        <f>+'ANEXO No.1'!G74*1.15</f>
        <v>1.3923627299999998E-3</v>
      </c>
    </row>
    <row r="75" spans="2:7" x14ac:dyDescent="0.35">
      <c r="B75" s="645">
        <f t="shared" si="0"/>
        <v>64</v>
      </c>
      <c r="C75" s="669">
        <f>+'ANEXO No.1'!C75*1.15</f>
        <v>8.026172000000005E-3</v>
      </c>
      <c r="D75" s="669">
        <f>+'ANEXO No.1'!D75*1.15</f>
        <v>4.5819311999999984E-3</v>
      </c>
      <c r="E75" s="669">
        <f>+'ANEXO No.1'!E75*1.15</f>
        <v>2.4561644800000005E-3</v>
      </c>
      <c r="F75" s="669">
        <f>+'ANEXO No.1'!F75*1.15</f>
        <v>1.9652432800000017E-3</v>
      </c>
      <c r="G75" s="669">
        <f>+'ANEXO No.1'!G75*1.15</f>
        <v>1.4306846399999996E-3</v>
      </c>
    </row>
    <row r="76" spans="2:7" x14ac:dyDescent="0.35">
      <c r="B76" s="645">
        <f t="shared" si="0"/>
        <v>65</v>
      </c>
      <c r="C76" s="669">
        <f>+'ANEXO No.1'!C76*1.15</f>
        <v>8.241158750000005E-3</v>
      </c>
      <c r="D76" s="669">
        <f>+'ANEXO No.1'!D76*1.15</f>
        <v>4.7046614999999986E-3</v>
      </c>
      <c r="E76" s="669">
        <f>+'ANEXO No.1'!E76*1.15</f>
        <v>2.5219546000000005E-3</v>
      </c>
      <c r="F76" s="669">
        <f>+'ANEXO No.1'!F76*1.15</f>
        <v>2.0178837250000017E-3</v>
      </c>
      <c r="G76" s="669">
        <f>+'ANEXO No.1'!G76*1.15</f>
        <v>1.4690065499999997E-3</v>
      </c>
    </row>
  </sheetData>
  <mergeCells count="10">
    <mergeCell ref="B3:G3"/>
    <mergeCell ref="B4:G4"/>
    <mergeCell ref="B7:G7"/>
    <mergeCell ref="B8:B10"/>
    <mergeCell ref="C8:G8"/>
    <mergeCell ref="C9:C10"/>
    <mergeCell ref="D9:D10"/>
    <mergeCell ref="E9:E10"/>
    <mergeCell ref="F9:F10"/>
    <mergeCell ref="G9:G10"/>
  </mergeCells>
  <pageMargins left="1.299212598425197" right="0.70866141732283472" top="0.74803149606299213" bottom="0.74803149606299213" header="0.31496062992125984" footer="0.31496062992125984"/>
  <pageSetup scale="63" orientation="portrait"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5:L13"/>
  <sheetViews>
    <sheetView workbookViewId="0">
      <selection activeCell="B9" sqref="B9:G11"/>
    </sheetView>
  </sheetViews>
  <sheetFormatPr baseColWidth="10" defaultColWidth="11.453125" defaultRowHeight="14.5" x14ac:dyDescent="0.35"/>
  <cols>
    <col min="3" max="3" width="19.7265625" bestFit="1" customWidth="1"/>
    <col min="4" max="5" width="15" bestFit="1" customWidth="1"/>
  </cols>
  <sheetData>
    <row r="5" spans="2:12" x14ac:dyDescent="0.35">
      <c r="B5" t="s">
        <v>76</v>
      </c>
    </row>
    <row r="6" spans="2:12" ht="15" thickBot="1" x14ac:dyDescent="0.4"/>
    <row r="7" spans="2:12" ht="29.5" thickBot="1" x14ac:dyDescent="0.4">
      <c r="B7" s="41" t="s">
        <v>79</v>
      </c>
      <c r="C7" s="42" t="s">
        <v>80</v>
      </c>
      <c r="D7" s="42" t="s">
        <v>42</v>
      </c>
      <c r="E7" s="42" t="s">
        <v>78</v>
      </c>
      <c r="F7" s="42" t="s">
        <v>81</v>
      </c>
      <c r="G7" s="42" t="s">
        <v>82</v>
      </c>
      <c r="H7" s="42" t="s">
        <v>83</v>
      </c>
      <c r="L7" s="635"/>
    </row>
    <row r="8" spans="2:12" ht="15" thickBot="1" x14ac:dyDescent="0.4">
      <c r="B8" s="43">
        <v>2013</v>
      </c>
      <c r="C8" s="44">
        <f>'SA2013'!G34</f>
        <v>21107280279.579998</v>
      </c>
      <c r="D8" s="44">
        <f>+'PYS2013'!P26</f>
        <v>57705337</v>
      </c>
      <c r="E8" s="44">
        <f>+'PYS2013'!N26</f>
        <v>73669220</v>
      </c>
      <c r="F8" s="45">
        <f t="shared" ref="F8:F10" si="0">D8/E8</f>
        <v>0.78330321673013503</v>
      </c>
      <c r="G8" s="660">
        <f t="shared" ref="G8:G10" si="1">D8/C8</f>
        <v>2.733906795932699E-3</v>
      </c>
      <c r="H8" s="660">
        <f t="shared" ref="H8:H10" si="2">E8/C8</f>
        <v>3.4902279698853698E-3</v>
      </c>
    </row>
    <row r="9" spans="2:12" ht="15" thickBot="1" x14ac:dyDescent="0.4">
      <c r="B9" s="43">
        <f t="shared" ref="B9:B10" si="3">B8+1</f>
        <v>2014</v>
      </c>
      <c r="C9" s="44">
        <f>'SA2014'!G34</f>
        <v>23603533054.990002</v>
      </c>
      <c r="D9" s="44">
        <f>+'PYS2014'!P26</f>
        <v>64081949.690000005</v>
      </c>
      <c r="E9" s="44">
        <f>+'PYS2014'!N26</f>
        <v>83067424.879999995</v>
      </c>
      <c r="F9" s="45">
        <f t="shared" si="0"/>
        <v>0.77144500124535476</v>
      </c>
      <c r="G9" s="660">
        <f t="shared" si="1"/>
        <v>2.7149304106595389E-3</v>
      </c>
      <c r="H9" s="660">
        <f t="shared" si="2"/>
        <v>3.5192792827444443E-3</v>
      </c>
    </row>
    <row r="10" spans="2:12" ht="15" thickBot="1" x14ac:dyDescent="0.4">
      <c r="B10" s="43">
        <f t="shared" si="3"/>
        <v>2015</v>
      </c>
      <c r="C10" s="44">
        <f>'SA2015'!G34</f>
        <v>24559566678.75</v>
      </c>
      <c r="D10" s="44">
        <f>+'PYS2015'!P26</f>
        <v>72585610.329999998</v>
      </c>
      <c r="E10" s="44">
        <f>+'PYS2015'!N26</f>
        <v>92009363.040000007</v>
      </c>
      <c r="F10" s="45">
        <f t="shared" si="0"/>
        <v>0.78889373789539485</v>
      </c>
      <c r="G10" s="660">
        <f t="shared" si="1"/>
        <v>2.9554923048705174E-3</v>
      </c>
      <c r="H10" s="660">
        <f t="shared" si="2"/>
        <v>3.7463756687372862E-3</v>
      </c>
    </row>
    <row r="11" spans="2:12" ht="15" thickBot="1" x14ac:dyDescent="0.4">
      <c r="B11" s="646">
        <v>2016</v>
      </c>
      <c r="C11" s="647">
        <f>+'SA2016'!G34</f>
        <v>26773277417.369999</v>
      </c>
      <c r="D11" s="647">
        <f>+'PYS2016'!P26</f>
        <v>136867870.58000001</v>
      </c>
      <c r="E11" s="647">
        <f>+'PYS2016'!N26</f>
        <v>103006993.88999999</v>
      </c>
      <c r="F11" s="45">
        <f t="shared" ref="F11:F12" si="4">D11/E11</f>
        <v>1.3287240546613726</v>
      </c>
      <c r="G11" s="660">
        <f t="shared" ref="G11:G12" si="5">D11/C11</f>
        <v>5.1121074363201686E-3</v>
      </c>
      <c r="H11" s="660">
        <f t="shared" ref="H11:H12" si="6">E11/C11</f>
        <v>3.8473808149902104E-3</v>
      </c>
    </row>
    <row r="12" spans="2:12" ht="15" thickBot="1" x14ac:dyDescent="0.4">
      <c r="B12" s="646">
        <v>2017</v>
      </c>
      <c r="C12" s="647">
        <f>+'SA2017'!G34</f>
        <v>25852196775.370003</v>
      </c>
      <c r="D12" s="647">
        <f>+'PYS2017'!P26</f>
        <v>73253305.770000011</v>
      </c>
      <c r="E12" s="647">
        <f>+'PYS2017'!N26</f>
        <v>99470556.159999996</v>
      </c>
      <c r="F12" s="45">
        <f t="shared" si="4"/>
        <v>0.736432051834222</v>
      </c>
      <c r="G12" s="660">
        <f t="shared" si="5"/>
        <v>2.8335427896707859E-3</v>
      </c>
      <c r="H12" s="660">
        <f t="shared" si="6"/>
        <v>3.847663586359823E-3</v>
      </c>
    </row>
    <row r="13" spans="2:12" ht="15" thickBot="1" x14ac:dyDescent="0.4">
      <c r="B13" s="725" t="s">
        <v>77</v>
      </c>
      <c r="C13" s="726"/>
      <c r="D13" s="726"/>
      <c r="E13" s="727"/>
      <c r="F13" s="46">
        <f>SUM(F8:F12)/5</f>
        <v>0.88175961247329582</v>
      </c>
      <c r="G13" s="638">
        <f t="shared" ref="G13:H13" si="7">SUM(G8:G12)/5</f>
        <v>3.269995947490742E-3</v>
      </c>
      <c r="H13" s="638">
        <f t="shared" si="7"/>
        <v>3.6901854645434266E-3</v>
      </c>
    </row>
  </sheetData>
  <mergeCells count="1">
    <mergeCell ref="B13:E13"/>
  </mergeCells>
  <pageMargins left="0.7" right="0.7" top="0.75" bottom="0.75" header="0.3" footer="0.3"/>
  <pageSetup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Z40"/>
  <sheetViews>
    <sheetView topLeftCell="A10" workbookViewId="0">
      <selection activeCell="B9" sqref="B9:G11"/>
    </sheetView>
  </sheetViews>
  <sheetFormatPr baseColWidth="10" defaultColWidth="11.453125" defaultRowHeight="13" x14ac:dyDescent="0.3"/>
  <cols>
    <col min="1" max="1" width="45.54296875" style="1" customWidth="1"/>
    <col min="2" max="2" width="8.81640625" style="1" bestFit="1" customWidth="1"/>
    <col min="3" max="3" width="13.7265625" style="1" bestFit="1" customWidth="1"/>
    <col min="4" max="4" width="16.81640625" style="1" customWidth="1"/>
    <col min="5" max="5" width="8.81640625" style="1" bestFit="1" customWidth="1"/>
    <col min="6" max="6" width="13.7265625" style="1" bestFit="1" customWidth="1"/>
    <col min="7" max="7" width="17.26953125" style="1" customWidth="1"/>
    <col min="8" max="8" width="11.453125" style="1"/>
    <col min="9" max="17" width="17.7265625" style="1" customWidth="1"/>
    <col min="18" max="24" width="18.7265625" style="1" customWidth="1"/>
    <col min="25" max="33" width="17.7265625" style="1" customWidth="1"/>
    <col min="34" max="40" width="18.7265625" style="1" customWidth="1"/>
    <col min="41" max="49" width="17.7265625" style="1" customWidth="1"/>
    <col min="50" max="56" width="18.7265625" style="1" customWidth="1"/>
    <col min="57" max="65" width="17.7265625" style="1" customWidth="1"/>
    <col min="66" max="72" width="18.7265625" style="1" customWidth="1"/>
    <col min="73" max="81" width="17.54296875" style="1" customWidth="1"/>
    <col min="82" max="88" width="18.54296875" style="1" customWidth="1"/>
    <col min="89" max="97" width="17.54296875" style="1" bestFit="1" customWidth="1"/>
    <col min="98" max="104" width="18.54296875" style="1" bestFit="1" customWidth="1"/>
    <col min="105" max="256" width="11.453125" style="1"/>
    <col min="257" max="257" width="45.54296875" style="1" customWidth="1"/>
    <col min="258" max="258" width="8.81640625" style="1" bestFit="1" customWidth="1"/>
    <col min="259" max="259" width="13.7265625" style="1" bestFit="1" customWidth="1"/>
    <col min="260" max="260" width="16.81640625" style="1" customWidth="1"/>
    <col min="261" max="261" width="8.81640625" style="1" bestFit="1" customWidth="1"/>
    <col min="262" max="262" width="13.7265625" style="1" bestFit="1" customWidth="1"/>
    <col min="263" max="263" width="17.26953125" style="1" customWidth="1"/>
    <col min="264" max="264" width="11.453125" style="1"/>
    <col min="265" max="273" width="17.7265625" style="1" customWidth="1"/>
    <col min="274" max="280" width="18.7265625" style="1" customWidth="1"/>
    <col min="281" max="289" width="17.7265625" style="1" customWidth="1"/>
    <col min="290" max="296" width="18.7265625" style="1" customWidth="1"/>
    <col min="297" max="305" width="17.7265625" style="1" customWidth="1"/>
    <col min="306" max="312" width="18.7265625" style="1" customWidth="1"/>
    <col min="313" max="321" width="17.7265625" style="1" customWidth="1"/>
    <col min="322" max="328" width="18.7265625" style="1" customWidth="1"/>
    <col min="329" max="337" width="17.54296875" style="1" customWidth="1"/>
    <col min="338" max="344" width="18.54296875" style="1" customWidth="1"/>
    <col min="345" max="353" width="17.54296875" style="1" bestFit="1" customWidth="1"/>
    <col min="354" max="360" width="18.54296875" style="1" bestFit="1" customWidth="1"/>
    <col min="361" max="512" width="11.453125" style="1"/>
    <col min="513" max="513" width="45.54296875" style="1" customWidth="1"/>
    <col min="514" max="514" width="8.81640625" style="1" bestFit="1" customWidth="1"/>
    <col min="515" max="515" width="13.7265625" style="1" bestFit="1" customWidth="1"/>
    <col min="516" max="516" width="16.81640625" style="1" customWidth="1"/>
    <col min="517" max="517" width="8.81640625" style="1" bestFit="1" customWidth="1"/>
    <col min="518" max="518" width="13.7265625" style="1" bestFit="1" customWidth="1"/>
    <col min="519" max="519" width="17.26953125" style="1" customWidth="1"/>
    <col min="520" max="520" width="11.453125" style="1"/>
    <col min="521" max="529" width="17.7265625" style="1" customWidth="1"/>
    <col min="530" max="536" width="18.7265625" style="1" customWidth="1"/>
    <col min="537" max="545" width="17.7265625" style="1" customWidth="1"/>
    <col min="546" max="552" width="18.7265625" style="1" customWidth="1"/>
    <col min="553" max="561" width="17.7265625" style="1" customWidth="1"/>
    <col min="562" max="568" width="18.7265625" style="1" customWidth="1"/>
    <col min="569" max="577" width="17.7265625" style="1" customWidth="1"/>
    <col min="578" max="584" width="18.7265625" style="1" customWidth="1"/>
    <col min="585" max="593" width="17.54296875" style="1" customWidth="1"/>
    <col min="594" max="600" width="18.54296875" style="1" customWidth="1"/>
    <col min="601" max="609" width="17.54296875" style="1" bestFit="1" customWidth="1"/>
    <col min="610" max="616" width="18.54296875" style="1" bestFit="1" customWidth="1"/>
    <col min="617" max="768" width="11.453125" style="1"/>
    <col min="769" max="769" width="45.54296875" style="1" customWidth="1"/>
    <col min="770" max="770" width="8.81640625" style="1" bestFit="1" customWidth="1"/>
    <col min="771" max="771" width="13.7265625" style="1" bestFit="1" customWidth="1"/>
    <col min="772" max="772" width="16.81640625" style="1" customWidth="1"/>
    <col min="773" max="773" width="8.81640625" style="1" bestFit="1" customWidth="1"/>
    <col min="774" max="774" width="13.7265625" style="1" bestFit="1" customWidth="1"/>
    <col min="775" max="775" width="17.26953125" style="1" customWidth="1"/>
    <col min="776" max="776" width="11.453125" style="1"/>
    <col min="777" max="785" width="17.7265625" style="1" customWidth="1"/>
    <col min="786" max="792" width="18.7265625" style="1" customWidth="1"/>
    <col min="793" max="801" width="17.7265625" style="1" customWidth="1"/>
    <col min="802" max="808" width="18.7265625" style="1" customWidth="1"/>
    <col min="809" max="817" width="17.7265625" style="1" customWidth="1"/>
    <col min="818" max="824" width="18.7265625" style="1" customWidth="1"/>
    <col min="825" max="833" width="17.7265625" style="1" customWidth="1"/>
    <col min="834" max="840" width="18.7265625" style="1" customWidth="1"/>
    <col min="841" max="849" width="17.54296875" style="1" customWidth="1"/>
    <col min="850" max="856" width="18.54296875" style="1" customWidth="1"/>
    <col min="857" max="865" width="17.54296875" style="1" bestFit="1" customWidth="1"/>
    <col min="866" max="872" width="18.54296875" style="1" bestFit="1" customWidth="1"/>
    <col min="873" max="1024" width="11.453125" style="1"/>
    <col min="1025" max="1025" width="45.54296875" style="1" customWidth="1"/>
    <col min="1026" max="1026" width="8.81640625" style="1" bestFit="1" customWidth="1"/>
    <col min="1027" max="1027" width="13.7265625" style="1" bestFit="1" customWidth="1"/>
    <col min="1028" max="1028" width="16.81640625" style="1" customWidth="1"/>
    <col min="1029" max="1029" width="8.81640625" style="1" bestFit="1" customWidth="1"/>
    <col min="1030" max="1030" width="13.7265625" style="1" bestFit="1" customWidth="1"/>
    <col min="1031" max="1031" width="17.26953125" style="1" customWidth="1"/>
    <col min="1032" max="1032" width="11.453125" style="1"/>
    <col min="1033" max="1041" width="17.7265625" style="1" customWidth="1"/>
    <col min="1042" max="1048" width="18.7265625" style="1" customWidth="1"/>
    <col min="1049" max="1057" width="17.7265625" style="1" customWidth="1"/>
    <col min="1058" max="1064" width="18.7265625" style="1" customWidth="1"/>
    <col min="1065" max="1073" width="17.7265625" style="1" customWidth="1"/>
    <col min="1074" max="1080" width="18.7265625" style="1" customWidth="1"/>
    <col min="1081" max="1089" width="17.7265625" style="1" customWidth="1"/>
    <col min="1090" max="1096" width="18.7265625" style="1" customWidth="1"/>
    <col min="1097" max="1105" width="17.54296875" style="1" customWidth="1"/>
    <col min="1106" max="1112" width="18.54296875" style="1" customWidth="1"/>
    <col min="1113" max="1121" width="17.54296875" style="1" bestFit="1" customWidth="1"/>
    <col min="1122" max="1128" width="18.54296875" style="1" bestFit="1" customWidth="1"/>
    <col min="1129" max="1280" width="11.453125" style="1"/>
    <col min="1281" max="1281" width="45.54296875" style="1" customWidth="1"/>
    <col min="1282" max="1282" width="8.81640625" style="1" bestFit="1" customWidth="1"/>
    <col min="1283" max="1283" width="13.7265625" style="1" bestFit="1" customWidth="1"/>
    <col min="1284" max="1284" width="16.81640625" style="1" customWidth="1"/>
    <col min="1285" max="1285" width="8.81640625" style="1" bestFit="1" customWidth="1"/>
    <col min="1286" max="1286" width="13.7265625" style="1" bestFit="1" customWidth="1"/>
    <col min="1287" max="1287" width="17.26953125" style="1" customWidth="1"/>
    <col min="1288" max="1288" width="11.453125" style="1"/>
    <col min="1289" max="1297" width="17.7265625" style="1" customWidth="1"/>
    <col min="1298" max="1304" width="18.7265625" style="1" customWidth="1"/>
    <col min="1305" max="1313" width="17.7265625" style="1" customWidth="1"/>
    <col min="1314" max="1320" width="18.7265625" style="1" customWidth="1"/>
    <col min="1321" max="1329" width="17.7265625" style="1" customWidth="1"/>
    <col min="1330" max="1336" width="18.7265625" style="1" customWidth="1"/>
    <col min="1337" max="1345" width="17.7265625" style="1" customWidth="1"/>
    <col min="1346" max="1352" width="18.7265625" style="1" customWidth="1"/>
    <col min="1353" max="1361" width="17.54296875" style="1" customWidth="1"/>
    <col min="1362" max="1368" width="18.54296875" style="1" customWidth="1"/>
    <col min="1369" max="1377" width="17.54296875" style="1" bestFit="1" customWidth="1"/>
    <col min="1378" max="1384" width="18.54296875" style="1" bestFit="1" customWidth="1"/>
    <col min="1385" max="1536" width="11.453125" style="1"/>
    <col min="1537" max="1537" width="45.54296875" style="1" customWidth="1"/>
    <col min="1538" max="1538" width="8.81640625" style="1" bestFit="1" customWidth="1"/>
    <col min="1539" max="1539" width="13.7265625" style="1" bestFit="1" customWidth="1"/>
    <col min="1540" max="1540" width="16.81640625" style="1" customWidth="1"/>
    <col min="1541" max="1541" width="8.81640625" style="1" bestFit="1" customWidth="1"/>
    <col min="1542" max="1542" width="13.7265625" style="1" bestFit="1" customWidth="1"/>
    <col min="1543" max="1543" width="17.26953125" style="1" customWidth="1"/>
    <col min="1544" max="1544" width="11.453125" style="1"/>
    <col min="1545" max="1553" width="17.7265625" style="1" customWidth="1"/>
    <col min="1554" max="1560" width="18.7265625" style="1" customWidth="1"/>
    <col min="1561" max="1569" width="17.7265625" style="1" customWidth="1"/>
    <col min="1570" max="1576" width="18.7265625" style="1" customWidth="1"/>
    <col min="1577" max="1585" width="17.7265625" style="1" customWidth="1"/>
    <col min="1586" max="1592" width="18.7265625" style="1" customWidth="1"/>
    <col min="1593" max="1601" width="17.7265625" style="1" customWidth="1"/>
    <col min="1602" max="1608" width="18.7265625" style="1" customWidth="1"/>
    <col min="1609" max="1617" width="17.54296875" style="1" customWidth="1"/>
    <col min="1618" max="1624" width="18.54296875" style="1" customWidth="1"/>
    <col min="1625" max="1633" width="17.54296875" style="1" bestFit="1" customWidth="1"/>
    <col min="1634" max="1640" width="18.54296875" style="1" bestFit="1" customWidth="1"/>
    <col min="1641" max="1792" width="11.453125" style="1"/>
    <col min="1793" max="1793" width="45.54296875" style="1" customWidth="1"/>
    <col min="1794" max="1794" width="8.81640625" style="1" bestFit="1" customWidth="1"/>
    <col min="1795" max="1795" width="13.7265625" style="1" bestFit="1" customWidth="1"/>
    <col min="1796" max="1796" width="16.81640625" style="1" customWidth="1"/>
    <col min="1797" max="1797" width="8.81640625" style="1" bestFit="1" customWidth="1"/>
    <col min="1798" max="1798" width="13.7265625" style="1" bestFit="1" customWidth="1"/>
    <col min="1799" max="1799" width="17.26953125" style="1" customWidth="1"/>
    <col min="1800" max="1800" width="11.453125" style="1"/>
    <col min="1801" max="1809" width="17.7265625" style="1" customWidth="1"/>
    <col min="1810" max="1816" width="18.7265625" style="1" customWidth="1"/>
    <col min="1817" max="1825" width="17.7265625" style="1" customWidth="1"/>
    <col min="1826" max="1832" width="18.7265625" style="1" customWidth="1"/>
    <col min="1833" max="1841" width="17.7265625" style="1" customWidth="1"/>
    <col min="1842" max="1848" width="18.7265625" style="1" customWidth="1"/>
    <col min="1849" max="1857" width="17.7265625" style="1" customWidth="1"/>
    <col min="1858" max="1864" width="18.7265625" style="1" customWidth="1"/>
    <col min="1865" max="1873" width="17.54296875" style="1" customWidth="1"/>
    <col min="1874" max="1880" width="18.54296875" style="1" customWidth="1"/>
    <col min="1881" max="1889" width="17.54296875" style="1" bestFit="1" customWidth="1"/>
    <col min="1890" max="1896" width="18.54296875" style="1" bestFit="1" customWidth="1"/>
    <col min="1897" max="2048" width="11.453125" style="1"/>
    <col min="2049" max="2049" width="45.54296875" style="1" customWidth="1"/>
    <col min="2050" max="2050" width="8.81640625" style="1" bestFit="1" customWidth="1"/>
    <col min="2051" max="2051" width="13.7265625" style="1" bestFit="1" customWidth="1"/>
    <col min="2052" max="2052" width="16.81640625" style="1" customWidth="1"/>
    <col min="2053" max="2053" width="8.81640625" style="1" bestFit="1" customWidth="1"/>
    <col min="2054" max="2054" width="13.7265625" style="1" bestFit="1" customWidth="1"/>
    <col min="2055" max="2055" width="17.26953125" style="1" customWidth="1"/>
    <col min="2056" max="2056" width="11.453125" style="1"/>
    <col min="2057" max="2065" width="17.7265625" style="1" customWidth="1"/>
    <col min="2066" max="2072" width="18.7265625" style="1" customWidth="1"/>
    <col min="2073" max="2081" width="17.7265625" style="1" customWidth="1"/>
    <col min="2082" max="2088" width="18.7265625" style="1" customWidth="1"/>
    <col min="2089" max="2097" width="17.7265625" style="1" customWidth="1"/>
    <col min="2098" max="2104" width="18.7265625" style="1" customWidth="1"/>
    <col min="2105" max="2113" width="17.7265625" style="1" customWidth="1"/>
    <col min="2114" max="2120" width="18.7265625" style="1" customWidth="1"/>
    <col min="2121" max="2129" width="17.54296875" style="1" customWidth="1"/>
    <col min="2130" max="2136" width="18.54296875" style="1" customWidth="1"/>
    <col min="2137" max="2145" width="17.54296875" style="1" bestFit="1" customWidth="1"/>
    <col min="2146" max="2152" width="18.54296875" style="1" bestFit="1" customWidth="1"/>
    <col min="2153" max="2304" width="11.453125" style="1"/>
    <col min="2305" max="2305" width="45.54296875" style="1" customWidth="1"/>
    <col min="2306" max="2306" width="8.81640625" style="1" bestFit="1" customWidth="1"/>
    <col min="2307" max="2307" width="13.7265625" style="1" bestFit="1" customWidth="1"/>
    <col min="2308" max="2308" width="16.81640625" style="1" customWidth="1"/>
    <col min="2309" max="2309" width="8.81640625" style="1" bestFit="1" customWidth="1"/>
    <col min="2310" max="2310" width="13.7265625" style="1" bestFit="1" customWidth="1"/>
    <col min="2311" max="2311" width="17.26953125" style="1" customWidth="1"/>
    <col min="2312" max="2312" width="11.453125" style="1"/>
    <col min="2313" max="2321" width="17.7265625" style="1" customWidth="1"/>
    <col min="2322" max="2328" width="18.7265625" style="1" customWidth="1"/>
    <col min="2329" max="2337" width="17.7265625" style="1" customWidth="1"/>
    <col min="2338" max="2344" width="18.7265625" style="1" customWidth="1"/>
    <col min="2345" max="2353" width="17.7265625" style="1" customWidth="1"/>
    <col min="2354" max="2360" width="18.7265625" style="1" customWidth="1"/>
    <col min="2361" max="2369" width="17.7265625" style="1" customWidth="1"/>
    <col min="2370" max="2376" width="18.7265625" style="1" customWidth="1"/>
    <col min="2377" max="2385" width="17.54296875" style="1" customWidth="1"/>
    <col min="2386" max="2392" width="18.54296875" style="1" customWidth="1"/>
    <col min="2393" max="2401" width="17.54296875" style="1" bestFit="1" customWidth="1"/>
    <col min="2402" max="2408" width="18.54296875" style="1" bestFit="1" customWidth="1"/>
    <col min="2409" max="2560" width="11.453125" style="1"/>
    <col min="2561" max="2561" width="45.54296875" style="1" customWidth="1"/>
    <col min="2562" max="2562" width="8.81640625" style="1" bestFit="1" customWidth="1"/>
    <col min="2563" max="2563" width="13.7265625" style="1" bestFit="1" customWidth="1"/>
    <col min="2564" max="2564" width="16.81640625" style="1" customWidth="1"/>
    <col min="2565" max="2565" width="8.81640625" style="1" bestFit="1" customWidth="1"/>
    <col min="2566" max="2566" width="13.7265625" style="1" bestFit="1" customWidth="1"/>
    <col min="2567" max="2567" width="17.26953125" style="1" customWidth="1"/>
    <col min="2568" max="2568" width="11.453125" style="1"/>
    <col min="2569" max="2577" width="17.7265625" style="1" customWidth="1"/>
    <col min="2578" max="2584" width="18.7265625" style="1" customWidth="1"/>
    <col min="2585" max="2593" width="17.7265625" style="1" customWidth="1"/>
    <col min="2594" max="2600" width="18.7265625" style="1" customWidth="1"/>
    <col min="2601" max="2609" width="17.7265625" style="1" customWidth="1"/>
    <col min="2610" max="2616" width="18.7265625" style="1" customWidth="1"/>
    <col min="2617" max="2625" width="17.7265625" style="1" customWidth="1"/>
    <col min="2626" max="2632" width="18.7265625" style="1" customWidth="1"/>
    <col min="2633" max="2641" width="17.54296875" style="1" customWidth="1"/>
    <col min="2642" max="2648" width="18.54296875" style="1" customWidth="1"/>
    <col min="2649" max="2657" width="17.54296875" style="1" bestFit="1" customWidth="1"/>
    <col min="2658" max="2664" width="18.54296875" style="1" bestFit="1" customWidth="1"/>
    <col min="2665" max="2816" width="11.453125" style="1"/>
    <col min="2817" max="2817" width="45.54296875" style="1" customWidth="1"/>
    <col min="2818" max="2818" width="8.81640625" style="1" bestFit="1" customWidth="1"/>
    <col min="2819" max="2819" width="13.7265625" style="1" bestFit="1" customWidth="1"/>
    <col min="2820" max="2820" width="16.81640625" style="1" customWidth="1"/>
    <col min="2821" max="2821" width="8.81640625" style="1" bestFit="1" customWidth="1"/>
    <col min="2822" max="2822" width="13.7265625" style="1" bestFit="1" customWidth="1"/>
    <col min="2823" max="2823" width="17.26953125" style="1" customWidth="1"/>
    <col min="2824" max="2824" width="11.453125" style="1"/>
    <col min="2825" max="2833" width="17.7265625" style="1" customWidth="1"/>
    <col min="2834" max="2840" width="18.7265625" style="1" customWidth="1"/>
    <col min="2841" max="2849" width="17.7265625" style="1" customWidth="1"/>
    <col min="2850" max="2856" width="18.7265625" style="1" customWidth="1"/>
    <col min="2857" max="2865" width="17.7265625" style="1" customWidth="1"/>
    <col min="2866" max="2872" width="18.7265625" style="1" customWidth="1"/>
    <col min="2873" max="2881" width="17.7265625" style="1" customWidth="1"/>
    <col min="2882" max="2888" width="18.7265625" style="1" customWidth="1"/>
    <col min="2889" max="2897" width="17.54296875" style="1" customWidth="1"/>
    <col min="2898" max="2904" width="18.54296875" style="1" customWidth="1"/>
    <col min="2905" max="2913" width="17.54296875" style="1" bestFit="1" customWidth="1"/>
    <col min="2914" max="2920" width="18.54296875" style="1" bestFit="1" customWidth="1"/>
    <col min="2921" max="3072" width="11.453125" style="1"/>
    <col min="3073" max="3073" width="45.54296875" style="1" customWidth="1"/>
    <col min="3074" max="3074" width="8.81640625" style="1" bestFit="1" customWidth="1"/>
    <col min="3075" max="3075" width="13.7265625" style="1" bestFit="1" customWidth="1"/>
    <col min="3076" max="3076" width="16.81640625" style="1" customWidth="1"/>
    <col min="3077" max="3077" width="8.81640625" style="1" bestFit="1" customWidth="1"/>
    <col min="3078" max="3078" width="13.7265625" style="1" bestFit="1" customWidth="1"/>
    <col min="3079" max="3079" width="17.26953125" style="1" customWidth="1"/>
    <col min="3080" max="3080" width="11.453125" style="1"/>
    <col min="3081" max="3089" width="17.7265625" style="1" customWidth="1"/>
    <col min="3090" max="3096" width="18.7265625" style="1" customWidth="1"/>
    <col min="3097" max="3105" width="17.7265625" style="1" customWidth="1"/>
    <col min="3106" max="3112" width="18.7265625" style="1" customWidth="1"/>
    <col min="3113" max="3121" width="17.7265625" style="1" customWidth="1"/>
    <col min="3122" max="3128" width="18.7265625" style="1" customWidth="1"/>
    <col min="3129" max="3137" width="17.7265625" style="1" customWidth="1"/>
    <col min="3138" max="3144" width="18.7265625" style="1" customWidth="1"/>
    <col min="3145" max="3153" width="17.54296875" style="1" customWidth="1"/>
    <col min="3154" max="3160" width="18.54296875" style="1" customWidth="1"/>
    <col min="3161" max="3169" width="17.54296875" style="1" bestFit="1" customWidth="1"/>
    <col min="3170" max="3176" width="18.54296875" style="1" bestFit="1" customWidth="1"/>
    <col min="3177" max="3328" width="11.453125" style="1"/>
    <col min="3329" max="3329" width="45.54296875" style="1" customWidth="1"/>
    <col min="3330" max="3330" width="8.81640625" style="1" bestFit="1" customWidth="1"/>
    <col min="3331" max="3331" width="13.7265625" style="1" bestFit="1" customWidth="1"/>
    <col min="3332" max="3332" width="16.81640625" style="1" customWidth="1"/>
    <col min="3333" max="3333" width="8.81640625" style="1" bestFit="1" customWidth="1"/>
    <col min="3334" max="3334" width="13.7265625" style="1" bestFit="1" customWidth="1"/>
    <col min="3335" max="3335" width="17.26953125" style="1" customWidth="1"/>
    <col min="3336" max="3336" width="11.453125" style="1"/>
    <col min="3337" max="3345" width="17.7265625" style="1" customWidth="1"/>
    <col min="3346" max="3352" width="18.7265625" style="1" customWidth="1"/>
    <col min="3353" max="3361" width="17.7265625" style="1" customWidth="1"/>
    <col min="3362" max="3368" width="18.7265625" style="1" customWidth="1"/>
    <col min="3369" max="3377" width="17.7265625" style="1" customWidth="1"/>
    <col min="3378" max="3384" width="18.7265625" style="1" customWidth="1"/>
    <col min="3385" max="3393" width="17.7265625" style="1" customWidth="1"/>
    <col min="3394" max="3400" width="18.7265625" style="1" customWidth="1"/>
    <col min="3401" max="3409" width="17.54296875" style="1" customWidth="1"/>
    <col min="3410" max="3416" width="18.54296875" style="1" customWidth="1"/>
    <col min="3417" max="3425" width="17.54296875" style="1" bestFit="1" customWidth="1"/>
    <col min="3426" max="3432" width="18.54296875" style="1" bestFit="1" customWidth="1"/>
    <col min="3433" max="3584" width="11.453125" style="1"/>
    <col min="3585" max="3585" width="45.54296875" style="1" customWidth="1"/>
    <col min="3586" max="3586" width="8.81640625" style="1" bestFit="1" customWidth="1"/>
    <col min="3587" max="3587" width="13.7265625" style="1" bestFit="1" customWidth="1"/>
    <col min="3588" max="3588" width="16.81640625" style="1" customWidth="1"/>
    <col min="3589" max="3589" width="8.81640625" style="1" bestFit="1" customWidth="1"/>
    <col min="3590" max="3590" width="13.7265625" style="1" bestFit="1" customWidth="1"/>
    <col min="3591" max="3591" width="17.26953125" style="1" customWidth="1"/>
    <col min="3592" max="3592" width="11.453125" style="1"/>
    <col min="3593" max="3601" width="17.7265625" style="1" customWidth="1"/>
    <col min="3602" max="3608" width="18.7265625" style="1" customWidth="1"/>
    <col min="3609" max="3617" width="17.7265625" style="1" customWidth="1"/>
    <col min="3618" max="3624" width="18.7265625" style="1" customWidth="1"/>
    <col min="3625" max="3633" width="17.7265625" style="1" customWidth="1"/>
    <col min="3634" max="3640" width="18.7265625" style="1" customWidth="1"/>
    <col min="3641" max="3649" width="17.7265625" style="1" customWidth="1"/>
    <col min="3650" max="3656" width="18.7265625" style="1" customWidth="1"/>
    <col min="3657" max="3665" width="17.54296875" style="1" customWidth="1"/>
    <col min="3666" max="3672" width="18.54296875" style="1" customWidth="1"/>
    <col min="3673" max="3681" width="17.54296875" style="1" bestFit="1" customWidth="1"/>
    <col min="3682" max="3688" width="18.54296875" style="1" bestFit="1" customWidth="1"/>
    <col min="3689" max="3840" width="11.453125" style="1"/>
    <col min="3841" max="3841" width="45.54296875" style="1" customWidth="1"/>
    <col min="3842" max="3842" width="8.81640625" style="1" bestFit="1" customWidth="1"/>
    <col min="3843" max="3843" width="13.7265625" style="1" bestFit="1" customWidth="1"/>
    <col min="3844" max="3844" width="16.81640625" style="1" customWidth="1"/>
    <col min="3845" max="3845" width="8.81640625" style="1" bestFit="1" customWidth="1"/>
    <col min="3846" max="3846" width="13.7265625" style="1" bestFit="1" customWidth="1"/>
    <col min="3847" max="3847" width="17.26953125" style="1" customWidth="1"/>
    <col min="3848" max="3848" width="11.453125" style="1"/>
    <col min="3849" max="3857" width="17.7265625" style="1" customWidth="1"/>
    <col min="3858" max="3864" width="18.7265625" style="1" customWidth="1"/>
    <col min="3865" max="3873" width="17.7265625" style="1" customWidth="1"/>
    <col min="3874" max="3880" width="18.7265625" style="1" customWidth="1"/>
    <col min="3881" max="3889" width="17.7265625" style="1" customWidth="1"/>
    <col min="3890" max="3896" width="18.7265625" style="1" customWidth="1"/>
    <col min="3897" max="3905" width="17.7265625" style="1" customWidth="1"/>
    <col min="3906" max="3912" width="18.7265625" style="1" customWidth="1"/>
    <col min="3913" max="3921" width="17.54296875" style="1" customWidth="1"/>
    <col min="3922" max="3928" width="18.54296875" style="1" customWidth="1"/>
    <col min="3929" max="3937" width="17.54296875" style="1" bestFit="1" customWidth="1"/>
    <col min="3938" max="3944" width="18.54296875" style="1" bestFit="1" customWidth="1"/>
    <col min="3945" max="4096" width="11.453125" style="1"/>
    <col min="4097" max="4097" width="45.54296875" style="1" customWidth="1"/>
    <col min="4098" max="4098" width="8.81640625" style="1" bestFit="1" customWidth="1"/>
    <col min="4099" max="4099" width="13.7265625" style="1" bestFit="1" customWidth="1"/>
    <col min="4100" max="4100" width="16.81640625" style="1" customWidth="1"/>
    <col min="4101" max="4101" width="8.81640625" style="1" bestFit="1" customWidth="1"/>
    <col min="4102" max="4102" width="13.7265625" style="1" bestFit="1" customWidth="1"/>
    <col min="4103" max="4103" width="17.26953125" style="1" customWidth="1"/>
    <col min="4104" max="4104" width="11.453125" style="1"/>
    <col min="4105" max="4113" width="17.7265625" style="1" customWidth="1"/>
    <col min="4114" max="4120" width="18.7265625" style="1" customWidth="1"/>
    <col min="4121" max="4129" width="17.7265625" style="1" customWidth="1"/>
    <col min="4130" max="4136" width="18.7265625" style="1" customWidth="1"/>
    <col min="4137" max="4145" width="17.7265625" style="1" customWidth="1"/>
    <col min="4146" max="4152" width="18.7265625" style="1" customWidth="1"/>
    <col min="4153" max="4161" width="17.7265625" style="1" customWidth="1"/>
    <col min="4162" max="4168" width="18.7265625" style="1" customWidth="1"/>
    <col min="4169" max="4177" width="17.54296875" style="1" customWidth="1"/>
    <col min="4178" max="4184" width="18.54296875" style="1" customWidth="1"/>
    <col min="4185" max="4193" width="17.54296875" style="1" bestFit="1" customWidth="1"/>
    <col min="4194" max="4200" width="18.54296875" style="1" bestFit="1" customWidth="1"/>
    <col min="4201" max="4352" width="11.453125" style="1"/>
    <col min="4353" max="4353" width="45.54296875" style="1" customWidth="1"/>
    <col min="4354" max="4354" width="8.81640625" style="1" bestFit="1" customWidth="1"/>
    <col min="4355" max="4355" width="13.7265625" style="1" bestFit="1" customWidth="1"/>
    <col min="4356" max="4356" width="16.81640625" style="1" customWidth="1"/>
    <col min="4357" max="4357" width="8.81640625" style="1" bestFit="1" customWidth="1"/>
    <col min="4358" max="4358" width="13.7265625" style="1" bestFit="1" customWidth="1"/>
    <col min="4359" max="4359" width="17.26953125" style="1" customWidth="1"/>
    <col min="4360" max="4360" width="11.453125" style="1"/>
    <col min="4361" max="4369" width="17.7265625" style="1" customWidth="1"/>
    <col min="4370" max="4376" width="18.7265625" style="1" customWidth="1"/>
    <col min="4377" max="4385" width="17.7265625" style="1" customWidth="1"/>
    <col min="4386" max="4392" width="18.7265625" style="1" customWidth="1"/>
    <col min="4393" max="4401" width="17.7265625" style="1" customWidth="1"/>
    <col min="4402" max="4408" width="18.7265625" style="1" customWidth="1"/>
    <col min="4409" max="4417" width="17.7265625" style="1" customWidth="1"/>
    <col min="4418" max="4424" width="18.7265625" style="1" customWidth="1"/>
    <col min="4425" max="4433" width="17.54296875" style="1" customWidth="1"/>
    <col min="4434" max="4440" width="18.54296875" style="1" customWidth="1"/>
    <col min="4441" max="4449" width="17.54296875" style="1" bestFit="1" customWidth="1"/>
    <col min="4450" max="4456" width="18.54296875" style="1" bestFit="1" customWidth="1"/>
    <col min="4457" max="4608" width="11.453125" style="1"/>
    <col min="4609" max="4609" width="45.54296875" style="1" customWidth="1"/>
    <col min="4610" max="4610" width="8.81640625" style="1" bestFit="1" customWidth="1"/>
    <col min="4611" max="4611" width="13.7265625" style="1" bestFit="1" customWidth="1"/>
    <col min="4612" max="4612" width="16.81640625" style="1" customWidth="1"/>
    <col min="4613" max="4613" width="8.81640625" style="1" bestFit="1" customWidth="1"/>
    <col min="4614" max="4614" width="13.7265625" style="1" bestFit="1" customWidth="1"/>
    <col min="4615" max="4615" width="17.26953125" style="1" customWidth="1"/>
    <col min="4616" max="4616" width="11.453125" style="1"/>
    <col min="4617" max="4625" width="17.7265625" style="1" customWidth="1"/>
    <col min="4626" max="4632" width="18.7265625" style="1" customWidth="1"/>
    <col min="4633" max="4641" width="17.7265625" style="1" customWidth="1"/>
    <col min="4642" max="4648" width="18.7265625" style="1" customWidth="1"/>
    <col min="4649" max="4657" width="17.7265625" style="1" customWidth="1"/>
    <col min="4658" max="4664" width="18.7265625" style="1" customWidth="1"/>
    <col min="4665" max="4673" width="17.7265625" style="1" customWidth="1"/>
    <col min="4674" max="4680" width="18.7265625" style="1" customWidth="1"/>
    <col min="4681" max="4689" width="17.54296875" style="1" customWidth="1"/>
    <col min="4690" max="4696" width="18.54296875" style="1" customWidth="1"/>
    <col min="4697" max="4705" width="17.54296875" style="1" bestFit="1" customWidth="1"/>
    <col min="4706" max="4712" width="18.54296875" style="1" bestFit="1" customWidth="1"/>
    <col min="4713" max="4864" width="11.453125" style="1"/>
    <col min="4865" max="4865" width="45.54296875" style="1" customWidth="1"/>
    <col min="4866" max="4866" width="8.81640625" style="1" bestFit="1" customWidth="1"/>
    <col min="4867" max="4867" width="13.7265625" style="1" bestFit="1" customWidth="1"/>
    <col min="4868" max="4868" width="16.81640625" style="1" customWidth="1"/>
    <col min="4869" max="4869" width="8.81640625" style="1" bestFit="1" customWidth="1"/>
    <col min="4870" max="4870" width="13.7265625" style="1" bestFit="1" customWidth="1"/>
    <col min="4871" max="4871" width="17.26953125" style="1" customWidth="1"/>
    <col min="4872" max="4872" width="11.453125" style="1"/>
    <col min="4873" max="4881" width="17.7265625" style="1" customWidth="1"/>
    <col min="4882" max="4888" width="18.7265625" style="1" customWidth="1"/>
    <col min="4889" max="4897" width="17.7265625" style="1" customWidth="1"/>
    <col min="4898" max="4904" width="18.7265625" style="1" customWidth="1"/>
    <col min="4905" max="4913" width="17.7265625" style="1" customWidth="1"/>
    <col min="4914" max="4920" width="18.7265625" style="1" customWidth="1"/>
    <col min="4921" max="4929" width="17.7265625" style="1" customWidth="1"/>
    <col min="4930" max="4936" width="18.7265625" style="1" customWidth="1"/>
    <col min="4937" max="4945" width="17.54296875" style="1" customWidth="1"/>
    <col min="4946" max="4952" width="18.54296875" style="1" customWidth="1"/>
    <col min="4953" max="4961" width="17.54296875" style="1" bestFit="1" customWidth="1"/>
    <col min="4962" max="4968" width="18.54296875" style="1" bestFit="1" customWidth="1"/>
    <col min="4969" max="5120" width="11.453125" style="1"/>
    <col min="5121" max="5121" width="45.54296875" style="1" customWidth="1"/>
    <col min="5122" max="5122" width="8.81640625" style="1" bestFit="1" customWidth="1"/>
    <col min="5123" max="5123" width="13.7265625" style="1" bestFit="1" customWidth="1"/>
    <col min="5124" max="5124" width="16.81640625" style="1" customWidth="1"/>
    <col min="5125" max="5125" width="8.81640625" style="1" bestFit="1" customWidth="1"/>
    <col min="5126" max="5126" width="13.7265625" style="1" bestFit="1" customWidth="1"/>
    <col min="5127" max="5127" width="17.26953125" style="1" customWidth="1"/>
    <col min="5128" max="5128" width="11.453125" style="1"/>
    <col min="5129" max="5137" width="17.7265625" style="1" customWidth="1"/>
    <col min="5138" max="5144" width="18.7265625" style="1" customWidth="1"/>
    <col min="5145" max="5153" width="17.7265625" style="1" customWidth="1"/>
    <col min="5154" max="5160" width="18.7265625" style="1" customWidth="1"/>
    <col min="5161" max="5169" width="17.7265625" style="1" customWidth="1"/>
    <col min="5170" max="5176" width="18.7265625" style="1" customWidth="1"/>
    <col min="5177" max="5185" width="17.7265625" style="1" customWidth="1"/>
    <col min="5186" max="5192" width="18.7265625" style="1" customWidth="1"/>
    <col min="5193" max="5201" width="17.54296875" style="1" customWidth="1"/>
    <col min="5202" max="5208" width="18.54296875" style="1" customWidth="1"/>
    <col min="5209" max="5217" width="17.54296875" style="1" bestFit="1" customWidth="1"/>
    <col min="5218" max="5224" width="18.54296875" style="1" bestFit="1" customWidth="1"/>
    <col min="5225" max="5376" width="11.453125" style="1"/>
    <col min="5377" max="5377" width="45.54296875" style="1" customWidth="1"/>
    <col min="5378" max="5378" width="8.81640625" style="1" bestFit="1" customWidth="1"/>
    <col min="5379" max="5379" width="13.7265625" style="1" bestFit="1" customWidth="1"/>
    <col min="5380" max="5380" width="16.81640625" style="1" customWidth="1"/>
    <col min="5381" max="5381" width="8.81640625" style="1" bestFit="1" customWidth="1"/>
    <col min="5382" max="5382" width="13.7265625" style="1" bestFit="1" customWidth="1"/>
    <col min="5383" max="5383" width="17.26953125" style="1" customWidth="1"/>
    <col min="5384" max="5384" width="11.453125" style="1"/>
    <col min="5385" max="5393" width="17.7265625" style="1" customWidth="1"/>
    <col min="5394" max="5400" width="18.7265625" style="1" customWidth="1"/>
    <col min="5401" max="5409" width="17.7265625" style="1" customWidth="1"/>
    <col min="5410" max="5416" width="18.7265625" style="1" customWidth="1"/>
    <col min="5417" max="5425" width="17.7265625" style="1" customWidth="1"/>
    <col min="5426" max="5432" width="18.7265625" style="1" customWidth="1"/>
    <col min="5433" max="5441" width="17.7265625" style="1" customWidth="1"/>
    <col min="5442" max="5448" width="18.7265625" style="1" customWidth="1"/>
    <col min="5449" max="5457" width="17.54296875" style="1" customWidth="1"/>
    <col min="5458" max="5464" width="18.54296875" style="1" customWidth="1"/>
    <col min="5465" max="5473" width="17.54296875" style="1" bestFit="1" customWidth="1"/>
    <col min="5474" max="5480" width="18.54296875" style="1" bestFit="1" customWidth="1"/>
    <col min="5481" max="5632" width="11.453125" style="1"/>
    <col min="5633" max="5633" width="45.54296875" style="1" customWidth="1"/>
    <col min="5634" max="5634" width="8.81640625" style="1" bestFit="1" customWidth="1"/>
    <col min="5635" max="5635" width="13.7265625" style="1" bestFit="1" customWidth="1"/>
    <col min="5636" max="5636" width="16.81640625" style="1" customWidth="1"/>
    <col min="5637" max="5637" width="8.81640625" style="1" bestFit="1" customWidth="1"/>
    <col min="5638" max="5638" width="13.7265625" style="1" bestFit="1" customWidth="1"/>
    <col min="5639" max="5639" width="17.26953125" style="1" customWidth="1"/>
    <col min="5640" max="5640" width="11.453125" style="1"/>
    <col min="5641" max="5649" width="17.7265625" style="1" customWidth="1"/>
    <col min="5650" max="5656" width="18.7265625" style="1" customWidth="1"/>
    <col min="5657" max="5665" width="17.7265625" style="1" customWidth="1"/>
    <col min="5666" max="5672" width="18.7265625" style="1" customWidth="1"/>
    <col min="5673" max="5681" width="17.7265625" style="1" customWidth="1"/>
    <col min="5682" max="5688" width="18.7265625" style="1" customWidth="1"/>
    <col min="5689" max="5697" width="17.7265625" style="1" customWidth="1"/>
    <col min="5698" max="5704" width="18.7265625" style="1" customWidth="1"/>
    <col min="5705" max="5713" width="17.54296875" style="1" customWidth="1"/>
    <col min="5714" max="5720" width="18.54296875" style="1" customWidth="1"/>
    <col min="5721" max="5729" width="17.54296875" style="1" bestFit="1" customWidth="1"/>
    <col min="5730" max="5736" width="18.54296875" style="1" bestFit="1" customWidth="1"/>
    <col min="5737" max="5888" width="11.453125" style="1"/>
    <col min="5889" max="5889" width="45.54296875" style="1" customWidth="1"/>
    <col min="5890" max="5890" width="8.81640625" style="1" bestFit="1" customWidth="1"/>
    <col min="5891" max="5891" width="13.7265625" style="1" bestFit="1" customWidth="1"/>
    <col min="5892" max="5892" width="16.81640625" style="1" customWidth="1"/>
    <col min="5893" max="5893" width="8.81640625" style="1" bestFit="1" customWidth="1"/>
    <col min="5894" max="5894" width="13.7265625" style="1" bestFit="1" customWidth="1"/>
    <col min="5895" max="5895" width="17.26953125" style="1" customWidth="1"/>
    <col min="5896" max="5896" width="11.453125" style="1"/>
    <col min="5897" max="5905" width="17.7265625" style="1" customWidth="1"/>
    <col min="5906" max="5912" width="18.7265625" style="1" customWidth="1"/>
    <col min="5913" max="5921" width="17.7265625" style="1" customWidth="1"/>
    <col min="5922" max="5928" width="18.7265625" style="1" customWidth="1"/>
    <col min="5929" max="5937" width="17.7265625" style="1" customWidth="1"/>
    <col min="5938" max="5944" width="18.7265625" style="1" customWidth="1"/>
    <col min="5945" max="5953" width="17.7265625" style="1" customWidth="1"/>
    <col min="5954" max="5960" width="18.7265625" style="1" customWidth="1"/>
    <col min="5961" max="5969" width="17.54296875" style="1" customWidth="1"/>
    <col min="5970" max="5976" width="18.54296875" style="1" customWidth="1"/>
    <col min="5977" max="5985" width="17.54296875" style="1" bestFit="1" customWidth="1"/>
    <col min="5986" max="5992" width="18.54296875" style="1" bestFit="1" customWidth="1"/>
    <col min="5993" max="6144" width="11.453125" style="1"/>
    <col min="6145" max="6145" width="45.54296875" style="1" customWidth="1"/>
    <col min="6146" max="6146" width="8.81640625" style="1" bestFit="1" customWidth="1"/>
    <col min="6147" max="6147" width="13.7265625" style="1" bestFit="1" customWidth="1"/>
    <col min="6148" max="6148" width="16.81640625" style="1" customWidth="1"/>
    <col min="6149" max="6149" width="8.81640625" style="1" bestFit="1" customWidth="1"/>
    <col min="6150" max="6150" width="13.7265625" style="1" bestFit="1" customWidth="1"/>
    <col min="6151" max="6151" width="17.26953125" style="1" customWidth="1"/>
    <col min="6152" max="6152" width="11.453125" style="1"/>
    <col min="6153" max="6161" width="17.7265625" style="1" customWidth="1"/>
    <col min="6162" max="6168" width="18.7265625" style="1" customWidth="1"/>
    <col min="6169" max="6177" width="17.7265625" style="1" customWidth="1"/>
    <col min="6178" max="6184" width="18.7265625" style="1" customWidth="1"/>
    <col min="6185" max="6193" width="17.7265625" style="1" customWidth="1"/>
    <col min="6194" max="6200" width="18.7265625" style="1" customWidth="1"/>
    <col min="6201" max="6209" width="17.7265625" style="1" customWidth="1"/>
    <col min="6210" max="6216" width="18.7265625" style="1" customWidth="1"/>
    <col min="6217" max="6225" width="17.54296875" style="1" customWidth="1"/>
    <col min="6226" max="6232" width="18.54296875" style="1" customWidth="1"/>
    <col min="6233" max="6241" width="17.54296875" style="1" bestFit="1" customWidth="1"/>
    <col min="6242" max="6248" width="18.54296875" style="1" bestFit="1" customWidth="1"/>
    <col min="6249" max="6400" width="11.453125" style="1"/>
    <col min="6401" max="6401" width="45.54296875" style="1" customWidth="1"/>
    <col min="6402" max="6402" width="8.81640625" style="1" bestFit="1" customWidth="1"/>
    <col min="6403" max="6403" width="13.7265625" style="1" bestFit="1" customWidth="1"/>
    <col min="6404" max="6404" width="16.81640625" style="1" customWidth="1"/>
    <col min="6405" max="6405" width="8.81640625" style="1" bestFit="1" customWidth="1"/>
    <col min="6406" max="6406" width="13.7265625" style="1" bestFit="1" customWidth="1"/>
    <col min="6407" max="6407" width="17.26953125" style="1" customWidth="1"/>
    <col min="6408" max="6408" width="11.453125" style="1"/>
    <col min="6409" max="6417" width="17.7265625" style="1" customWidth="1"/>
    <col min="6418" max="6424" width="18.7265625" style="1" customWidth="1"/>
    <col min="6425" max="6433" width="17.7265625" style="1" customWidth="1"/>
    <col min="6434" max="6440" width="18.7265625" style="1" customWidth="1"/>
    <col min="6441" max="6449" width="17.7265625" style="1" customWidth="1"/>
    <col min="6450" max="6456" width="18.7265625" style="1" customWidth="1"/>
    <col min="6457" max="6465" width="17.7265625" style="1" customWidth="1"/>
    <col min="6466" max="6472" width="18.7265625" style="1" customWidth="1"/>
    <col min="6473" max="6481" width="17.54296875" style="1" customWidth="1"/>
    <col min="6482" max="6488" width="18.54296875" style="1" customWidth="1"/>
    <col min="6489" max="6497" width="17.54296875" style="1" bestFit="1" customWidth="1"/>
    <col min="6498" max="6504" width="18.54296875" style="1" bestFit="1" customWidth="1"/>
    <col min="6505" max="6656" width="11.453125" style="1"/>
    <col min="6657" max="6657" width="45.54296875" style="1" customWidth="1"/>
    <col min="6658" max="6658" width="8.81640625" style="1" bestFit="1" customWidth="1"/>
    <col min="6659" max="6659" width="13.7265625" style="1" bestFit="1" customWidth="1"/>
    <col min="6660" max="6660" width="16.81640625" style="1" customWidth="1"/>
    <col min="6661" max="6661" width="8.81640625" style="1" bestFit="1" customWidth="1"/>
    <col min="6662" max="6662" width="13.7265625" style="1" bestFit="1" customWidth="1"/>
    <col min="6663" max="6663" width="17.26953125" style="1" customWidth="1"/>
    <col min="6664" max="6664" width="11.453125" style="1"/>
    <col min="6665" max="6673" width="17.7265625" style="1" customWidth="1"/>
    <col min="6674" max="6680" width="18.7265625" style="1" customWidth="1"/>
    <col min="6681" max="6689" width="17.7265625" style="1" customWidth="1"/>
    <col min="6690" max="6696" width="18.7265625" style="1" customWidth="1"/>
    <col min="6697" max="6705" width="17.7265625" style="1" customWidth="1"/>
    <col min="6706" max="6712" width="18.7265625" style="1" customWidth="1"/>
    <col min="6713" max="6721" width="17.7265625" style="1" customWidth="1"/>
    <col min="6722" max="6728" width="18.7265625" style="1" customWidth="1"/>
    <col min="6729" max="6737" width="17.54296875" style="1" customWidth="1"/>
    <col min="6738" max="6744" width="18.54296875" style="1" customWidth="1"/>
    <col min="6745" max="6753" width="17.54296875" style="1" bestFit="1" customWidth="1"/>
    <col min="6754" max="6760" width="18.54296875" style="1" bestFit="1" customWidth="1"/>
    <col min="6761" max="6912" width="11.453125" style="1"/>
    <col min="6913" max="6913" width="45.54296875" style="1" customWidth="1"/>
    <col min="6914" max="6914" width="8.81640625" style="1" bestFit="1" customWidth="1"/>
    <col min="6915" max="6915" width="13.7265625" style="1" bestFit="1" customWidth="1"/>
    <col min="6916" max="6916" width="16.81640625" style="1" customWidth="1"/>
    <col min="6917" max="6917" width="8.81640625" style="1" bestFit="1" customWidth="1"/>
    <col min="6918" max="6918" width="13.7265625" style="1" bestFit="1" customWidth="1"/>
    <col min="6919" max="6919" width="17.26953125" style="1" customWidth="1"/>
    <col min="6920" max="6920" width="11.453125" style="1"/>
    <col min="6921" max="6929" width="17.7265625" style="1" customWidth="1"/>
    <col min="6930" max="6936" width="18.7265625" style="1" customWidth="1"/>
    <col min="6937" max="6945" width="17.7265625" style="1" customWidth="1"/>
    <col min="6946" max="6952" width="18.7265625" style="1" customWidth="1"/>
    <col min="6953" max="6961" width="17.7265625" style="1" customWidth="1"/>
    <col min="6962" max="6968" width="18.7265625" style="1" customWidth="1"/>
    <col min="6969" max="6977" width="17.7265625" style="1" customWidth="1"/>
    <col min="6978" max="6984" width="18.7265625" style="1" customWidth="1"/>
    <col min="6985" max="6993" width="17.54296875" style="1" customWidth="1"/>
    <col min="6994" max="7000" width="18.54296875" style="1" customWidth="1"/>
    <col min="7001" max="7009" width="17.54296875" style="1" bestFit="1" customWidth="1"/>
    <col min="7010" max="7016" width="18.54296875" style="1" bestFit="1" customWidth="1"/>
    <col min="7017" max="7168" width="11.453125" style="1"/>
    <col min="7169" max="7169" width="45.54296875" style="1" customWidth="1"/>
    <col min="7170" max="7170" width="8.81640625" style="1" bestFit="1" customWidth="1"/>
    <col min="7171" max="7171" width="13.7265625" style="1" bestFit="1" customWidth="1"/>
    <col min="7172" max="7172" width="16.81640625" style="1" customWidth="1"/>
    <col min="7173" max="7173" width="8.81640625" style="1" bestFit="1" customWidth="1"/>
    <col min="7174" max="7174" width="13.7265625" style="1" bestFit="1" customWidth="1"/>
    <col min="7175" max="7175" width="17.26953125" style="1" customWidth="1"/>
    <col min="7176" max="7176" width="11.453125" style="1"/>
    <col min="7177" max="7185" width="17.7265625" style="1" customWidth="1"/>
    <col min="7186" max="7192" width="18.7265625" style="1" customWidth="1"/>
    <col min="7193" max="7201" width="17.7265625" style="1" customWidth="1"/>
    <col min="7202" max="7208" width="18.7265625" style="1" customWidth="1"/>
    <col min="7209" max="7217" width="17.7265625" style="1" customWidth="1"/>
    <col min="7218" max="7224" width="18.7265625" style="1" customWidth="1"/>
    <col min="7225" max="7233" width="17.7265625" style="1" customWidth="1"/>
    <col min="7234" max="7240" width="18.7265625" style="1" customWidth="1"/>
    <col min="7241" max="7249" width="17.54296875" style="1" customWidth="1"/>
    <col min="7250" max="7256" width="18.54296875" style="1" customWidth="1"/>
    <col min="7257" max="7265" width="17.54296875" style="1" bestFit="1" customWidth="1"/>
    <col min="7266" max="7272" width="18.54296875" style="1" bestFit="1" customWidth="1"/>
    <col min="7273" max="7424" width="11.453125" style="1"/>
    <col min="7425" max="7425" width="45.54296875" style="1" customWidth="1"/>
    <col min="7426" max="7426" width="8.81640625" style="1" bestFit="1" customWidth="1"/>
    <col min="7427" max="7427" width="13.7265625" style="1" bestFit="1" customWidth="1"/>
    <col min="7428" max="7428" width="16.81640625" style="1" customWidth="1"/>
    <col min="7429" max="7429" width="8.81640625" style="1" bestFit="1" customWidth="1"/>
    <col min="7430" max="7430" width="13.7265625" style="1" bestFit="1" customWidth="1"/>
    <col min="7431" max="7431" width="17.26953125" style="1" customWidth="1"/>
    <col min="7432" max="7432" width="11.453125" style="1"/>
    <col min="7433" max="7441" width="17.7265625" style="1" customWidth="1"/>
    <col min="7442" max="7448" width="18.7265625" style="1" customWidth="1"/>
    <col min="7449" max="7457" width="17.7265625" style="1" customWidth="1"/>
    <col min="7458" max="7464" width="18.7265625" style="1" customWidth="1"/>
    <col min="7465" max="7473" width="17.7265625" style="1" customWidth="1"/>
    <col min="7474" max="7480" width="18.7265625" style="1" customWidth="1"/>
    <col min="7481" max="7489" width="17.7265625" style="1" customWidth="1"/>
    <col min="7490" max="7496" width="18.7265625" style="1" customWidth="1"/>
    <col min="7497" max="7505" width="17.54296875" style="1" customWidth="1"/>
    <col min="7506" max="7512" width="18.54296875" style="1" customWidth="1"/>
    <col min="7513" max="7521" width="17.54296875" style="1" bestFit="1" customWidth="1"/>
    <col min="7522" max="7528" width="18.54296875" style="1" bestFit="1" customWidth="1"/>
    <col min="7529" max="7680" width="11.453125" style="1"/>
    <col min="7681" max="7681" width="45.54296875" style="1" customWidth="1"/>
    <col min="7682" max="7682" width="8.81640625" style="1" bestFit="1" customWidth="1"/>
    <col min="7683" max="7683" width="13.7265625" style="1" bestFit="1" customWidth="1"/>
    <col min="7684" max="7684" width="16.81640625" style="1" customWidth="1"/>
    <col min="7685" max="7685" width="8.81640625" style="1" bestFit="1" customWidth="1"/>
    <col min="7686" max="7686" width="13.7265625" style="1" bestFit="1" customWidth="1"/>
    <col min="7687" max="7687" width="17.26953125" style="1" customWidth="1"/>
    <col min="7688" max="7688" width="11.453125" style="1"/>
    <col min="7689" max="7697" width="17.7265625" style="1" customWidth="1"/>
    <col min="7698" max="7704" width="18.7265625" style="1" customWidth="1"/>
    <col min="7705" max="7713" width="17.7265625" style="1" customWidth="1"/>
    <col min="7714" max="7720" width="18.7265625" style="1" customWidth="1"/>
    <col min="7721" max="7729" width="17.7265625" style="1" customWidth="1"/>
    <col min="7730" max="7736" width="18.7265625" style="1" customWidth="1"/>
    <col min="7737" max="7745" width="17.7265625" style="1" customWidth="1"/>
    <col min="7746" max="7752" width="18.7265625" style="1" customWidth="1"/>
    <col min="7753" max="7761" width="17.54296875" style="1" customWidth="1"/>
    <col min="7762" max="7768" width="18.54296875" style="1" customWidth="1"/>
    <col min="7769" max="7777" width="17.54296875" style="1" bestFit="1" customWidth="1"/>
    <col min="7778" max="7784" width="18.54296875" style="1" bestFit="1" customWidth="1"/>
    <col min="7785" max="7936" width="11.453125" style="1"/>
    <col min="7937" max="7937" width="45.54296875" style="1" customWidth="1"/>
    <col min="7938" max="7938" width="8.81640625" style="1" bestFit="1" customWidth="1"/>
    <col min="7939" max="7939" width="13.7265625" style="1" bestFit="1" customWidth="1"/>
    <col min="7940" max="7940" width="16.81640625" style="1" customWidth="1"/>
    <col min="7941" max="7941" width="8.81640625" style="1" bestFit="1" customWidth="1"/>
    <col min="7942" max="7942" width="13.7265625" style="1" bestFit="1" customWidth="1"/>
    <col min="7943" max="7943" width="17.26953125" style="1" customWidth="1"/>
    <col min="7944" max="7944" width="11.453125" style="1"/>
    <col min="7945" max="7953" width="17.7265625" style="1" customWidth="1"/>
    <col min="7954" max="7960" width="18.7265625" style="1" customWidth="1"/>
    <col min="7961" max="7969" width="17.7265625" style="1" customWidth="1"/>
    <col min="7970" max="7976" width="18.7265625" style="1" customWidth="1"/>
    <col min="7977" max="7985" width="17.7265625" style="1" customWidth="1"/>
    <col min="7986" max="7992" width="18.7265625" style="1" customWidth="1"/>
    <col min="7993" max="8001" width="17.7265625" style="1" customWidth="1"/>
    <col min="8002" max="8008" width="18.7265625" style="1" customWidth="1"/>
    <col min="8009" max="8017" width="17.54296875" style="1" customWidth="1"/>
    <col min="8018" max="8024" width="18.54296875" style="1" customWidth="1"/>
    <col min="8025" max="8033" width="17.54296875" style="1" bestFit="1" customWidth="1"/>
    <col min="8034" max="8040" width="18.54296875" style="1" bestFit="1" customWidth="1"/>
    <col min="8041" max="8192" width="11.453125" style="1"/>
    <col min="8193" max="8193" width="45.54296875" style="1" customWidth="1"/>
    <col min="8194" max="8194" width="8.81640625" style="1" bestFit="1" customWidth="1"/>
    <col min="8195" max="8195" width="13.7265625" style="1" bestFit="1" customWidth="1"/>
    <col min="8196" max="8196" width="16.81640625" style="1" customWidth="1"/>
    <col min="8197" max="8197" width="8.81640625" style="1" bestFit="1" customWidth="1"/>
    <col min="8198" max="8198" width="13.7265625" style="1" bestFit="1" customWidth="1"/>
    <col min="8199" max="8199" width="17.26953125" style="1" customWidth="1"/>
    <col min="8200" max="8200" width="11.453125" style="1"/>
    <col min="8201" max="8209" width="17.7265625" style="1" customWidth="1"/>
    <col min="8210" max="8216" width="18.7265625" style="1" customWidth="1"/>
    <col min="8217" max="8225" width="17.7265625" style="1" customWidth="1"/>
    <col min="8226" max="8232" width="18.7265625" style="1" customWidth="1"/>
    <col min="8233" max="8241" width="17.7265625" style="1" customWidth="1"/>
    <col min="8242" max="8248" width="18.7265625" style="1" customWidth="1"/>
    <col min="8249" max="8257" width="17.7265625" style="1" customWidth="1"/>
    <col min="8258" max="8264" width="18.7265625" style="1" customWidth="1"/>
    <col min="8265" max="8273" width="17.54296875" style="1" customWidth="1"/>
    <col min="8274" max="8280" width="18.54296875" style="1" customWidth="1"/>
    <col min="8281" max="8289" width="17.54296875" style="1" bestFit="1" customWidth="1"/>
    <col min="8290" max="8296" width="18.54296875" style="1" bestFit="1" customWidth="1"/>
    <col min="8297" max="8448" width="11.453125" style="1"/>
    <col min="8449" max="8449" width="45.54296875" style="1" customWidth="1"/>
    <col min="8450" max="8450" width="8.81640625" style="1" bestFit="1" customWidth="1"/>
    <col min="8451" max="8451" width="13.7265625" style="1" bestFit="1" customWidth="1"/>
    <col min="8452" max="8452" width="16.81640625" style="1" customWidth="1"/>
    <col min="8453" max="8453" width="8.81640625" style="1" bestFit="1" customWidth="1"/>
    <col min="8454" max="8454" width="13.7265625" style="1" bestFit="1" customWidth="1"/>
    <col min="8455" max="8455" width="17.26953125" style="1" customWidth="1"/>
    <col min="8456" max="8456" width="11.453125" style="1"/>
    <col min="8457" max="8465" width="17.7265625" style="1" customWidth="1"/>
    <col min="8466" max="8472" width="18.7265625" style="1" customWidth="1"/>
    <col min="8473" max="8481" width="17.7265625" style="1" customWidth="1"/>
    <col min="8482" max="8488" width="18.7265625" style="1" customWidth="1"/>
    <col min="8489" max="8497" width="17.7265625" style="1" customWidth="1"/>
    <col min="8498" max="8504" width="18.7265625" style="1" customWidth="1"/>
    <col min="8505" max="8513" width="17.7265625" style="1" customWidth="1"/>
    <col min="8514" max="8520" width="18.7265625" style="1" customWidth="1"/>
    <col min="8521" max="8529" width="17.54296875" style="1" customWidth="1"/>
    <col min="8530" max="8536" width="18.54296875" style="1" customWidth="1"/>
    <col min="8537" max="8545" width="17.54296875" style="1" bestFit="1" customWidth="1"/>
    <col min="8546" max="8552" width="18.54296875" style="1" bestFit="1" customWidth="1"/>
    <col min="8553" max="8704" width="11.453125" style="1"/>
    <col min="8705" max="8705" width="45.54296875" style="1" customWidth="1"/>
    <col min="8706" max="8706" width="8.81640625" style="1" bestFit="1" customWidth="1"/>
    <col min="8707" max="8707" width="13.7265625" style="1" bestFit="1" customWidth="1"/>
    <col min="8708" max="8708" width="16.81640625" style="1" customWidth="1"/>
    <col min="8709" max="8709" width="8.81640625" style="1" bestFit="1" customWidth="1"/>
    <col min="8710" max="8710" width="13.7265625" style="1" bestFit="1" customWidth="1"/>
    <col min="8711" max="8711" width="17.26953125" style="1" customWidth="1"/>
    <col min="8712" max="8712" width="11.453125" style="1"/>
    <col min="8713" max="8721" width="17.7265625" style="1" customWidth="1"/>
    <col min="8722" max="8728" width="18.7265625" style="1" customWidth="1"/>
    <col min="8729" max="8737" width="17.7265625" style="1" customWidth="1"/>
    <col min="8738" max="8744" width="18.7265625" style="1" customWidth="1"/>
    <col min="8745" max="8753" width="17.7265625" style="1" customWidth="1"/>
    <col min="8754" max="8760" width="18.7265625" style="1" customWidth="1"/>
    <col min="8761" max="8769" width="17.7265625" style="1" customWidth="1"/>
    <col min="8770" max="8776" width="18.7265625" style="1" customWidth="1"/>
    <col min="8777" max="8785" width="17.54296875" style="1" customWidth="1"/>
    <col min="8786" max="8792" width="18.54296875" style="1" customWidth="1"/>
    <col min="8793" max="8801" width="17.54296875" style="1" bestFit="1" customWidth="1"/>
    <col min="8802" max="8808" width="18.54296875" style="1" bestFit="1" customWidth="1"/>
    <col min="8809" max="8960" width="11.453125" style="1"/>
    <col min="8961" max="8961" width="45.54296875" style="1" customWidth="1"/>
    <col min="8962" max="8962" width="8.81640625" style="1" bestFit="1" customWidth="1"/>
    <col min="8963" max="8963" width="13.7265625" style="1" bestFit="1" customWidth="1"/>
    <col min="8964" max="8964" width="16.81640625" style="1" customWidth="1"/>
    <col min="8965" max="8965" width="8.81640625" style="1" bestFit="1" customWidth="1"/>
    <col min="8966" max="8966" width="13.7265625" style="1" bestFit="1" customWidth="1"/>
    <col min="8967" max="8967" width="17.26953125" style="1" customWidth="1"/>
    <col min="8968" max="8968" width="11.453125" style="1"/>
    <col min="8969" max="8977" width="17.7265625" style="1" customWidth="1"/>
    <col min="8978" max="8984" width="18.7265625" style="1" customWidth="1"/>
    <col min="8985" max="8993" width="17.7265625" style="1" customWidth="1"/>
    <col min="8994" max="9000" width="18.7265625" style="1" customWidth="1"/>
    <col min="9001" max="9009" width="17.7265625" style="1" customWidth="1"/>
    <col min="9010" max="9016" width="18.7265625" style="1" customWidth="1"/>
    <col min="9017" max="9025" width="17.7265625" style="1" customWidth="1"/>
    <col min="9026" max="9032" width="18.7265625" style="1" customWidth="1"/>
    <col min="9033" max="9041" width="17.54296875" style="1" customWidth="1"/>
    <col min="9042" max="9048" width="18.54296875" style="1" customWidth="1"/>
    <col min="9049" max="9057" width="17.54296875" style="1" bestFit="1" customWidth="1"/>
    <col min="9058" max="9064" width="18.54296875" style="1" bestFit="1" customWidth="1"/>
    <col min="9065" max="9216" width="11.453125" style="1"/>
    <col min="9217" max="9217" width="45.54296875" style="1" customWidth="1"/>
    <col min="9218" max="9218" width="8.81640625" style="1" bestFit="1" customWidth="1"/>
    <col min="9219" max="9219" width="13.7265625" style="1" bestFit="1" customWidth="1"/>
    <col min="9220" max="9220" width="16.81640625" style="1" customWidth="1"/>
    <col min="9221" max="9221" width="8.81640625" style="1" bestFit="1" customWidth="1"/>
    <col min="9222" max="9222" width="13.7265625" style="1" bestFit="1" customWidth="1"/>
    <col min="9223" max="9223" width="17.26953125" style="1" customWidth="1"/>
    <col min="9224" max="9224" width="11.453125" style="1"/>
    <col min="9225" max="9233" width="17.7265625" style="1" customWidth="1"/>
    <col min="9234" max="9240" width="18.7265625" style="1" customWidth="1"/>
    <col min="9241" max="9249" width="17.7265625" style="1" customWidth="1"/>
    <col min="9250" max="9256" width="18.7265625" style="1" customWidth="1"/>
    <col min="9257" max="9265" width="17.7265625" style="1" customWidth="1"/>
    <col min="9266" max="9272" width="18.7265625" style="1" customWidth="1"/>
    <col min="9273" max="9281" width="17.7265625" style="1" customWidth="1"/>
    <col min="9282" max="9288" width="18.7265625" style="1" customWidth="1"/>
    <col min="9289" max="9297" width="17.54296875" style="1" customWidth="1"/>
    <col min="9298" max="9304" width="18.54296875" style="1" customWidth="1"/>
    <col min="9305" max="9313" width="17.54296875" style="1" bestFit="1" customWidth="1"/>
    <col min="9314" max="9320" width="18.54296875" style="1" bestFit="1" customWidth="1"/>
    <col min="9321" max="9472" width="11.453125" style="1"/>
    <col min="9473" max="9473" width="45.54296875" style="1" customWidth="1"/>
    <col min="9474" max="9474" width="8.81640625" style="1" bestFit="1" customWidth="1"/>
    <col min="9475" max="9475" width="13.7265625" style="1" bestFit="1" customWidth="1"/>
    <col min="9476" max="9476" width="16.81640625" style="1" customWidth="1"/>
    <col min="9477" max="9477" width="8.81640625" style="1" bestFit="1" customWidth="1"/>
    <col min="9478" max="9478" width="13.7265625" style="1" bestFit="1" customWidth="1"/>
    <col min="9479" max="9479" width="17.26953125" style="1" customWidth="1"/>
    <col min="9480" max="9480" width="11.453125" style="1"/>
    <col min="9481" max="9489" width="17.7265625" style="1" customWidth="1"/>
    <col min="9490" max="9496" width="18.7265625" style="1" customWidth="1"/>
    <col min="9497" max="9505" width="17.7265625" style="1" customWidth="1"/>
    <col min="9506" max="9512" width="18.7265625" style="1" customWidth="1"/>
    <col min="9513" max="9521" width="17.7265625" style="1" customWidth="1"/>
    <col min="9522" max="9528" width="18.7265625" style="1" customWidth="1"/>
    <col min="9529" max="9537" width="17.7265625" style="1" customWidth="1"/>
    <col min="9538" max="9544" width="18.7265625" style="1" customWidth="1"/>
    <col min="9545" max="9553" width="17.54296875" style="1" customWidth="1"/>
    <col min="9554" max="9560" width="18.54296875" style="1" customWidth="1"/>
    <col min="9561" max="9569" width="17.54296875" style="1" bestFit="1" customWidth="1"/>
    <col min="9570" max="9576" width="18.54296875" style="1" bestFit="1" customWidth="1"/>
    <col min="9577" max="9728" width="11.453125" style="1"/>
    <col min="9729" max="9729" width="45.54296875" style="1" customWidth="1"/>
    <col min="9730" max="9730" width="8.81640625" style="1" bestFit="1" customWidth="1"/>
    <col min="9731" max="9731" width="13.7265625" style="1" bestFit="1" customWidth="1"/>
    <col min="9732" max="9732" width="16.81640625" style="1" customWidth="1"/>
    <col min="9733" max="9733" width="8.81640625" style="1" bestFit="1" customWidth="1"/>
    <col min="9734" max="9734" width="13.7265625" style="1" bestFit="1" customWidth="1"/>
    <col min="9735" max="9735" width="17.26953125" style="1" customWidth="1"/>
    <col min="9736" max="9736" width="11.453125" style="1"/>
    <col min="9737" max="9745" width="17.7265625" style="1" customWidth="1"/>
    <col min="9746" max="9752" width="18.7265625" style="1" customWidth="1"/>
    <col min="9753" max="9761" width="17.7265625" style="1" customWidth="1"/>
    <col min="9762" max="9768" width="18.7265625" style="1" customWidth="1"/>
    <col min="9769" max="9777" width="17.7265625" style="1" customWidth="1"/>
    <col min="9778" max="9784" width="18.7265625" style="1" customWidth="1"/>
    <col min="9785" max="9793" width="17.7265625" style="1" customWidth="1"/>
    <col min="9794" max="9800" width="18.7265625" style="1" customWidth="1"/>
    <col min="9801" max="9809" width="17.54296875" style="1" customWidth="1"/>
    <col min="9810" max="9816" width="18.54296875" style="1" customWidth="1"/>
    <col min="9817" max="9825" width="17.54296875" style="1" bestFit="1" customWidth="1"/>
    <col min="9826" max="9832" width="18.54296875" style="1" bestFit="1" customWidth="1"/>
    <col min="9833" max="9984" width="11.453125" style="1"/>
    <col min="9985" max="9985" width="45.54296875" style="1" customWidth="1"/>
    <col min="9986" max="9986" width="8.81640625" style="1" bestFit="1" customWidth="1"/>
    <col min="9987" max="9987" width="13.7265625" style="1" bestFit="1" customWidth="1"/>
    <col min="9988" max="9988" width="16.81640625" style="1" customWidth="1"/>
    <col min="9989" max="9989" width="8.81640625" style="1" bestFit="1" customWidth="1"/>
    <col min="9990" max="9990" width="13.7265625" style="1" bestFit="1" customWidth="1"/>
    <col min="9991" max="9991" width="17.26953125" style="1" customWidth="1"/>
    <col min="9992" max="9992" width="11.453125" style="1"/>
    <col min="9993" max="10001" width="17.7265625" style="1" customWidth="1"/>
    <col min="10002" max="10008" width="18.7265625" style="1" customWidth="1"/>
    <col min="10009" max="10017" width="17.7265625" style="1" customWidth="1"/>
    <col min="10018" max="10024" width="18.7265625" style="1" customWidth="1"/>
    <col min="10025" max="10033" width="17.7265625" style="1" customWidth="1"/>
    <col min="10034" max="10040" width="18.7265625" style="1" customWidth="1"/>
    <col min="10041" max="10049" width="17.7265625" style="1" customWidth="1"/>
    <col min="10050" max="10056" width="18.7265625" style="1" customWidth="1"/>
    <col min="10057" max="10065" width="17.54296875" style="1" customWidth="1"/>
    <col min="10066" max="10072" width="18.54296875" style="1" customWidth="1"/>
    <col min="10073" max="10081" width="17.54296875" style="1" bestFit="1" customWidth="1"/>
    <col min="10082" max="10088" width="18.54296875" style="1" bestFit="1" customWidth="1"/>
    <col min="10089" max="10240" width="11.453125" style="1"/>
    <col min="10241" max="10241" width="45.54296875" style="1" customWidth="1"/>
    <col min="10242" max="10242" width="8.81640625" style="1" bestFit="1" customWidth="1"/>
    <col min="10243" max="10243" width="13.7265625" style="1" bestFit="1" customWidth="1"/>
    <col min="10244" max="10244" width="16.81640625" style="1" customWidth="1"/>
    <col min="10245" max="10245" width="8.81640625" style="1" bestFit="1" customWidth="1"/>
    <col min="10246" max="10246" width="13.7265625" style="1" bestFit="1" customWidth="1"/>
    <col min="10247" max="10247" width="17.26953125" style="1" customWidth="1"/>
    <col min="10248" max="10248" width="11.453125" style="1"/>
    <col min="10249" max="10257" width="17.7265625" style="1" customWidth="1"/>
    <col min="10258" max="10264" width="18.7265625" style="1" customWidth="1"/>
    <col min="10265" max="10273" width="17.7265625" style="1" customWidth="1"/>
    <col min="10274" max="10280" width="18.7265625" style="1" customWidth="1"/>
    <col min="10281" max="10289" width="17.7265625" style="1" customWidth="1"/>
    <col min="10290" max="10296" width="18.7265625" style="1" customWidth="1"/>
    <col min="10297" max="10305" width="17.7265625" style="1" customWidth="1"/>
    <col min="10306" max="10312" width="18.7265625" style="1" customWidth="1"/>
    <col min="10313" max="10321" width="17.54296875" style="1" customWidth="1"/>
    <col min="10322" max="10328" width="18.54296875" style="1" customWidth="1"/>
    <col min="10329" max="10337" width="17.54296875" style="1" bestFit="1" customWidth="1"/>
    <col min="10338" max="10344" width="18.54296875" style="1" bestFit="1" customWidth="1"/>
    <col min="10345" max="10496" width="11.453125" style="1"/>
    <col min="10497" max="10497" width="45.54296875" style="1" customWidth="1"/>
    <col min="10498" max="10498" width="8.81640625" style="1" bestFit="1" customWidth="1"/>
    <col min="10499" max="10499" width="13.7265625" style="1" bestFit="1" customWidth="1"/>
    <col min="10500" max="10500" width="16.81640625" style="1" customWidth="1"/>
    <col min="10501" max="10501" width="8.81640625" style="1" bestFit="1" customWidth="1"/>
    <col min="10502" max="10502" width="13.7265625" style="1" bestFit="1" customWidth="1"/>
    <col min="10503" max="10503" width="17.26953125" style="1" customWidth="1"/>
    <col min="10504" max="10504" width="11.453125" style="1"/>
    <col min="10505" max="10513" width="17.7265625" style="1" customWidth="1"/>
    <col min="10514" max="10520" width="18.7265625" style="1" customWidth="1"/>
    <col min="10521" max="10529" width="17.7265625" style="1" customWidth="1"/>
    <col min="10530" max="10536" width="18.7265625" style="1" customWidth="1"/>
    <col min="10537" max="10545" width="17.7265625" style="1" customWidth="1"/>
    <col min="10546" max="10552" width="18.7265625" style="1" customWidth="1"/>
    <col min="10553" max="10561" width="17.7265625" style="1" customWidth="1"/>
    <col min="10562" max="10568" width="18.7265625" style="1" customWidth="1"/>
    <col min="10569" max="10577" width="17.54296875" style="1" customWidth="1"/>
    <col min="10578" max="10584" width="18.54296875" style="1" customWidth="1"/>
    <col min="10585" max="10593" width="17.54296875" style="1" bestFit="1" customWidth="1"/>
    <col min="10594" max="10600" width="18.54296875" style="1" bestFit="1" customWidth="1"/>
    <col min="10601" max="10752" width="11.453125" style="1"/>
    <col min="10753" max="10753" width="45.54296875" style="1" customWidth="1"/>
    <col min="10754" max="10754" width="8.81640625" style="1" bestFit="1" customWidth="1"/>
    <col min="10755" max="10755" width="13.7265625" style="1" bestFit="1" customWidth="1"/>
    <col min="10756" max="10756" width="16.81640625" style="1" customWidth="1"/>
    <col min="10757" max="10757" width="8.81640625" style="1" bestFit="1" customWidth="1"/>
    <col min="10758" max="10758" width="13.7265625" style="1" bestFit="1" customWidth="1"/>
    <col min="10759" max="10759" width="17.26953125" style="1" customWidth="1"/>
    <col min="10760" max="10760" width="11.453125" style="1"/>
    <col min="10761" max="10769" width="17.7265625" style="1" customWidth="1"/>
    <col min="10770" max="10776" width="18.7265625" style="1" customWidth="1"/>
    <col min="10777" max="10785" width="17.7265625" style="1" customWidth="1"/>
    <col min="10786" max="10792" width="18.7265625" style="1" customWidth="1"/>
    <col min="10793" max="10801" width="17.7265625" style="1" customWidth="1"/>
    <col min="10802" max="10808" width="18.7265625" style="1" customWidth="1"/>
    <col min="10809" max="10817" width="17.7265625" style="1" customWidth="1"/>
    <col min="10818" max="10824" width="18.7265625" style="1" customWidth="1"/>
    <col min="10825" max="10833" width="17.54296875" style="1" customWidth="1"/>
    <col min="10834" max="10840" width="18.54296875" style="1" customWidth="1"/>
    <col min="10841" max="10849" width="17.54296875" style="1" bestFit="1" customWidth="1"/>
    <col min="10850" max="10856" width="18.54296875" style="1" bestFit="1" customWidth="1"/>
    <col min="10857" max="11008" width="11.453125" style="1"/>
    <col min="11009" max="11009" width="45.54296875" style="1" customWidth="1"/>
    <col min="11010" max="11010" width="8.81640625" style="1" bestFit="1" customWidth="1"/>
    <col min="11011" max="11011" width="13.7265625" style="1" bestFit="1" customWidth="1"/>
    <col min="11012" max="11012" width="16.81640625" style="1" customWidth="1"/>
    <col min="11013" max="11013" width="8.81640625" style="1" bestFit="1" customWidth="1"/>
    <col min="11014" max="11014" width="13.7265625" style="1" bestFit="1" customWidth="1"/>
    <col min="11015" max="11015" width="17.26953125" style="1" customWidth="1"/>
    <col min="11016" max="11016" width="11.453125" style="1"/>
    <col min="11017" max="11025" width="17.7265625" style="1" customWidth="1"/>
    <col min="11026" max="11032" width="18.7265625" style="1" customWidth="1"/>
    <col min="11033" max="11041" width="17.7265625" style="1" customWidth="1"/>
    <col min="11042" max="11048" width="18.7265625" style="1" customWidth="1"/>
    <col min="11049" max="11057" width="17.7265625" style="1" customWidth="1"/>
    <col min="11058" max="11064" width="18.7265625" style="1" customWidth="1"/>
    <col min="11065" max="11073" width="17.7265625" style="1" customWidth="1"/>
    <col min="11074" max="11080" width="18.7265625" style="1" customWidth="1"/>
    <col min="11081" max="11089" width="17.54296875" style="1" customWidth="1"/>
    <col min="11090" max="11096" width="18.54296875" style="1" customWidth="1"/>
    <col min="11097" max="11105" width="17.54296875" style="1" bestFit="1" customWidth="1"/>
    <col min="11106" max="11112" width="18.54296875" style="1" bestFit="1" customWidth="1"/>
    <col min="11113" max="11264" width="11.453125" style="1"/>
    <col min="11265" max="11265" width="45.54296875" style="1" customWidth="1"/>
    <col min="11266" max="11266" width="8.81640625" style="1" bestFit="1" customWidth="1"/>
    <col min="11267" max="11267" width="13.7265625" style="1" bestFit="1" customWidth="1"/>
    <col min="11268" max="11268" width="16.81640625" style="1" customWidth="1"/>
    <col min="11269" max="11269" width="8.81640625" style="1" bestFit="1" customWidth="1"/>
    <col min="11270" max="11270" width="13.7265625" style="1" bestFit="1" customWidth="1"/>
    <col min="11271" max="11271" width="17.26953125" style="1" customWidth="1"/>
    <col min="11272" max="11272" width="11.453125" style="1"/>
    <col min="11273" max="11281" width="17.7265625" style="1" customWidth="1"/>
    <col min="11282" max="11288" width="18.7265625" style="1" customWidth="1"/>
    <col min="11289" max="11297" width="17.7265625" style="1" customWidth="1"/>
    <col min="11298" max="11304" width="18.7265625" style="1" customWidth="1"/>
    <col min="11305" max="11313" width="17.7265625" style="1" customWidth="1"/>
    <col min="11314" max="11320" width="18.7265625" style="1" customWidth="1"/>
    <col min="11321" max="11329" width="17.7265625" style="1" customWidth="1"/>
    <col min="11330" max="11336" width="18.7265625" style="1" customWidth="1"/>
    <col min="11337" max="11345" width="17.54296875" style="1" customWidth="1"/>
    <col min="11346" max="11352" width="18.54296875" style="1" customWidth="1"/>
    <col min="11353" max="11361" width="17.54296875" style="1" bestFit="1" customWidth="1"/>
    <col min="11362" max="11368" width="18.54296875" style="1" bestFit="1" customWidth="1"/>
    <col min="11369" max="11520" width="11.453125" style="1"/>
    <col min="11521" max="11521" width="45.54296875" style="1" customWidth="1"/>
    <col min="11522" max="11522" width="8.81640625" style="1" bestFit="1" customWidth="1"/>
    <col min="11523" max="11523" width="13.7265625" style="1" bestFit="1" customWidth="1"/>
    <col min="11524" max="11524" width="16.81640625" style="1" customWidth="1"/>
    <col min="11525" max="11525" width="8.81640625" style="1" bestFit="1" customWidth="1"/>
    <col min="11526" max="11526" width="13.7265625" style="1" bestFit="1" customWidth="1"/>
    <col min="11527" max="11527" width="17.26953125" style="1" customWidth="1"/>
    <col min="11528" max="11528" width="11.453125" style="1"/>
    <col min="11529" max="11537" width="17.7265625" style="1" customWidth="1"/>
    <col min="11538" max="11544" width="18.7265625" style="1" customWidth="1"/>
    <col min="11545" max="11553" width="17.7265625" style="1" customWidth="1"/>
    <col min="11554" max="11560" width="18.7265625" style="1" customWidth="1"/>
    <col min="11561" max="11569" width="17.7265625" style="1" customWidth="1"/>
    <col min="11570" max="11576" width="18.7265625" style="1" customWidth="1"/>
    <col min="11577" max="11585" width="17.7265625" style="1" customWidth="1"/>
    <col min="11586" max="11592" width="18.7265625" style="1" customWidth="1"/>
    <col min="11593" max="11601" width="17.54296875" style="1" customWidth="1"/>
    <col min="11602" max="11608" width="18.54296875" style="1" customWidth="1"/>
    <col min="11609" max="11617" width="17.54296875" style="1" bestFit="1" customWidth="1"/>
    <col min="11618" max="11624" width="18.54296875" style="1" bestFit="1" customWidth="1"/>
    <col min="11625" max="11776" width="11.453125" style="1"/>
    <col min="11777" max="11777" width="45.54296875" style="1" customWidth="1"/>
    <col min="11778" max="11778" width="8.81640625" style="1" bestFit="1" customWidth="1"/>
    <col min="11779" max="11779" width="13.7265625" style="1" bestFit="1" customWidth="1"/>
    <col min="11780" max="11780" width="16.81640625" style="1" customWidth="1"/>
    <col min="11781" max="11781" width="8.81640625" style="1" bestFit="1" customWidth="1"/>
    <col min="11782" max="11782" width="13.7265625" style="1" bestFit="1" customWidth="1"/>
    <col min="11783" max="11783" width="17.26953125" style="1" customWidth="1"/>
    <col min="11784" max="11784" width="11.453125" style="1"/>
    <col min="11785" max="11793" width="17.7265625" style="1" customWidth="1"/>
    <col min="11794" max="11800" width="18.7265625" style="1" customWidth="1"/>
    <col min="11801" max="11809" width="17.7265625" style="1" customWidth="1"/>
    <col min="11810" max="11816" width="18.7265625" style="1" customWidth="1"/>
    <col min="11817" max="11825" width="17.7265625" style="1" customWidth="1"/>
    <col min="11826" max="11832" width="18.7265625" style="1" customWidth="1"/>
    <col min="11833" max="11841" width="17.7265625" style="1" customWidth="1"/>
    <col min="11842" max="11848" width="18.7265625" style="1" customWidth="1"/>
    <col min="11849" max="11857" width="17.54296875" style="1" customWidth="1"/>
    <col min="11858" max="11864" width="18.54296875" style="1" customWidth="1"/>
    <col min="11865" max="11873" width="17.54296875" style="1" bestFit="1" customWidth="1"/>
    <col min="11874" max="11880" width="18.54296875" style="1" bestFit="1" customWidth="1"/>
    <col min="11881" max="12032" width="11.453125" style="1"/>
    <col min="12033" max="12033" width="45.54296875" style="1" customWidth="1"/>
    <col min="12034" max="12034" width="8.81640625" style="1" bestFit="1" customWidth="1"/>
    <col min="12035" max="12035" width="13.7265625" style="1" bestFit="1" customWidth="1"/>
    <col min="12036" max="12036" width="16.81640625" style="1" customWidth="1"/>
    <col min="12037" max="12037" width="8.81640625" style="1" bestFit="1" customWidth="1"/>
    <col min="12038" max="12038" width="13.7265625" style="1" bestFit="1" customWidth="1"/>
    <col min="12039" max="12039" width="17.26953125" style="1" customWidth="1"/>
    <col min="12040" max="12040" width="11.453125" style="1"/>
    <col min="12041" max="12049" width="17.7265625" style="1" customWidth="1"/>
    <col min="12050" max="12056" width="18.7265625" style="1" customWidth="1"/>
    <col min="12057" max="12065" width="17.7265625" style="1" customWidth="1"/>
    <col min="12066" max="12072" width="18.7265625" style="1" customWidth="1"/>
    <col min="12073" max="12081" width="17.7265625" style="1" customWidth="1"/>
    <col min="12082" max="12088" width="18.7265625" style="1" customWidth="1"/>
    <col min="12089" max="12097" width="17.7265625" style="1" customWidth="1"/>
    <col min="12098" max="12104" width="18.7265625" style="1" customWidth="1"/>
    <col min="12105" max="12113" width="17.54296875" style="1" customWidth="1"/>
    <col min="12114" max="12120" width="18.54296875" style="1" customWidth="1"/>
    <col min="12121" max="12129" width="17.54296875" style="1" bestFit="1" customWidth="1"/>
    <col min="12130" max="12136" width="18.54296875" style="1" bestFit="1" customWidth="1"/>
    <col min="12137" max="12288" width="11.453125" style="1"/>
    <col min="12289" max="12289" width="45.54296875" style="1" customWidth="1"/>
    <col min="12290" max="12290" width="8.81640625" style="1" bestFit="1" customWidth="1"/>
    <col min="12291" max="12291" width="13.7265625" style="1" bestFit="1" customWidth="1"/>
    <col min="12292" max="12292" width="16.81640625" style="1" customWidth="1"/>
    <col min="12293" max="12293" width="8.81640625" style="1" bestFit="1" customWidth="1"/>
    <col min="12294" max="12294" width="13.7265625" style="1" bestFit="1" customWidth="1"/>
    <col min="12295" max="12295" width="17.26953125" style="1" customWidth="1"/>
    <col min="12296" max="12296" width="11.453125" style="1"/>
    <col min="12297" max="12305" width="17.7265625" style="1" customWidth="1"/>
    <col min="12306" max="12312" width="18.7265625" style="1" customWidth="1"/>
    <col min="12313" max="12321" width="17.7265625" style="1" customWidth="1"/>
    <col min="12322" max="12328" width="18.7265625" style="1" customWidth="1"/>
    <col min="12329" max="12337" width="17.7265625" style="1" customWidth="1"/>
    <col min="12338" max="12344" width="18.7265625" style="1" customWidth="1"/>
    <col min="12345" max="12353" width="17.7265625" style="1" customWidth="1"/>
    <col min="12354" max="12360" width="18.7265625" style="1" customWidth="1"/>
    <col min="12361" max="12369" width="17.54296875" style="1" customWidth="1"/>
    <col min="12370" max="12376" width="18.54296875" style="1" customWidth="1"/>
    <col min="12377" max="12385" width="17.54296875" style="1" bestFit="1" customWidth="1"/>
    <col min="12386" max="12392" width="18.54296875" style="1" bestFit="1" customWidth="1"/>
    <col min="12393" max="12544" width="11.453125" style="1"/>
    <col min="12545" max="12545" width="45.54296875" style="1" customWidth="1"/>
    <col min="12546" max="12546" width="8.81640625" style="1" bestFit="1" customWidth="1"/>
    <col min="12547" max="12547" width="13.7265625" style="1" bestFit="1" customWidth="1"/>
    <col min="12548" max="12548" width="16.81640625" style="1" customWidth="1"/>
    <col min="12549" max="12549" width="8.81640625" style="1" bestFit="1" customWidth="1"/>
    <col min="12550" max="12550" width="13.7265625" style="1" bestFit="1" customWidth="1"/>
    <col min="12551" max="12551" width="17.26953125" style="1" customWidth="1"/>
    <col min="12552" max="12552" width="11.453125" style="1"/>
    <col min="12553" max="12561" width="17.7265625" style="1" customWidth="1"/>
    <col min="12562" max="12568" width="18.7265625" style="1" customWidth="1"/>
    <col min="12569" max="12577" width="17.7265625" style="1" customWidth="1"/>
    <col min="12578" max="12584" width="18.7265625" style="1" customWidth="1"/>
    <col min="12585" max="12593" width="17.7265625" style="1" customWidth="1"/>
    <col min="12594" max="12600" width="18.7265625" style="1" customWidth="1"/>
    <col min="12601" max="12609" width="17.7265625" style="1" customWidth="1"/>
    <col min="12610" max="12616" width="18.7265625" style="1" customWidth="1"/>
    <col min="12617" max="12625" width="17.54296875" style="1" customWidth="1"/>
    <col min="12626" max="12632" width="18.54296875" style="1" customWidth="1"/>
    <col min="12633" max="12641" width="17.54296875" style="1" bestFit="1" customWidth="1"/>
    <col min="12642" max="12648" width="18.54296875" style="1" bestFit="1" customWidth="1"/>
    <col min="12649" max="12800" width="11.453125" style="1"/>
    <col min="12801" max="12801" width="45.54296875" style="1" customWidth="1"/>
    <col min="12802" max="12802" width="8.81640625" style="1" bestFit="1" customWidth="1"/>
    <col min="12803" max="12803" width="13.7265625" style="1" bestFit="1" customWidth="1"/>
    <col min="12804" max="12804" width="16.81640625" style="1" customWidth="1"/>
    <col min="12805" max="12805" width="8.81640625" style="1" bestFit="1" customWidth="1"/>
    <col min="12806" max="12806" width="13.7265625" style="1" bestFit="1" customWidth="1"/>
    <col min="12807" max="12807" width="17.26953125" style="1" customWidth="1"/>
    <col min="12808" max="12808" width="11.453125" style="1"/>
    <col min="12809" max="12817" width="17.7265625" style="1" customWidth="1"/>
    <col min="12818" max="12824" width="18.7265625" style="1" customWidth="1"/>
    <col min="12825" max="12833" width="17.7265625" style="1" customWidth="1"/>
    <col min="12834" max="12840" width="18.7265625" style="1" customWidth="1"/>
    <col min="12841" max="12849" width="17.7265625" style="1" customWidth="1"/>
    <col min="12850" max="12856" width="18.7265625" style="1" customWidth="1"/>
    <col min="12857" max="12865" width="17.7265625" style="1" customWidth="1"/>
    <col min="12866" max="12872" width="18.7265625" style="1" customWidth="1"/>
    <col min="12873" max="12881" width="17.54296875" style="1" customWidth="1"/>
    <col min="12882" max="12888" width="18.54296875" style="1" customWidth="1"/>
    <col min="12889" max="12897" width="17.54296875" style="1" bestFit="1" customWidth="1"/>
    <col min="12898" max="12904" width="18.54296875" style="1" bestFit="1" customWidth="1"/>
    <col min="12905" max="13056" width="11.453125" style="1"/>
    <col min="13057" max="13057" width="45.54296875" style="1" customWidth="1"/>
    <col min="13058" max="13058" width="8.81640625" style="1" bestFit="1" customWidth="1"/>
    <col min="13059" max="13059" width="13.7265625" style="1" bestFit="1" customWidth="1"/>
    <col min="13060" max="13060" width="16.81640625" style="1" customWidth="1"/>
    <col min="13061" max="13061" width="8.81640625" style="1" bestFit="1" customWidth="1"/>
    <col min="13062" max="13062" width="13.7265625" style="1" bestFit="1" customWidth="1"/>
    <col min="13063" max="13063" width="17.26953125" style="1" customWidth="1"/>
    <col min="13064" max="13064" width="11.453125" style="1"/>
    <col min="13065" max="13073" width="17.7265625" style="1" customWidth="1"/>
    <col min="13074" max="13080" width="18.7265625" style="1" customWidth="1"/>
    <col min="13081" max="13089" width="17.7265625" style="1" customWidth="1"/>
    <col min="13090" max="13096" width="18.7265625" style="1" customWidth="1"/>
    <col min="13097" max="13105" width="17.7265625" style="1" customWidth="1"/>
    <col min="13106" max="13112" width="18.7265625" style="1" customWidth="1"/>
    <col min="13113" max="13121" width="17.7265625" style="1" customWidth="1"/>
    <col min="13122" max="13128" width="18.7265625" style="1" customWidth="1"/>
    <col min="13129" max="13137" width="17.54296875" style="1" customWidth="1"/>
    <col min="13138" max="13144" width="18.54296875" style="1" customWidth="1"/>
    <col min="13145" max="13153" width="17.54296875" style="1" bestFit="1" customWidth="1"/>
    <col min="13154" max="13160" width="18.54296875" style="1" bestFit="1" customWidth="1"/>
    <col min="13161" max="13312" width="11.453125" style="1"/>
    <col min="13313" max="13313" width="45.54296875" style="1" customWidth="1"/>
    <col min="13314" max="13314" width="8.81640625" style="1" bestFit="1" customWidth="1"/>
    <col min="13315" max="13315" width="13.7265625" style="1" bestFit="1" customWidth="1"/>
    <col min="13316" max="13316" width="16.81640625" style="1" customWidth="1"/>
    <col min="13317" max="13317" width="8.81640625" style="1" bestFit="1" customWidth="1"/>
    <col min="13318" max="13318" width="13.7265625" style="1" bestFit="1" customWidth="1"/>
    <col min="13319" max="13319" width="17.26953125" style="1" customWidth="1"/>
    <col min="13320" max="13320" width="11.453125" style="1"/>
    <col min="13321" max="13329" width="17.7265625" style="1" customWidth="1"/>
    <col min="13330" max="13336" width="18.7265625" style="1" customWidth="1"/>
    <col min="13337" max="13345" width="17.7265625" style="1" customWidth="1"/>
    <col min="13346" max="13352" width="18.7265625" style="1" customWidth="1"/>
    <col min="13353" max="13361" width="17.7265625" style="1" customWidth="1"/>
    <col min="13362" max="13368" width="18.7265625" style="1" customWidth="1"/>
    <col min="13369" max="13377" width="17.7265625" style="1" customWidth="1"/>
    <col min="13378" max="13384" width="18.7265625" style="1" customWidth="1"/>
    <col min="13385" max="13393" width="17.54296875" style="1" customWidth="1"/>
    <col min="13394" max="13400" width="18.54296875" style="1" customWidth="1"/>
    <col min="13401" max="13409" width="17.54296875" style="1" bestFit="1" customWidth="1"/>
    <col min="13410" max="13416" width="18.54296875" style="1" bestFit="1" customWidth="1"/>
    <col min="13417" max="13568" width="11.453125" style="1"/>
    <col min="13569" max="13569" width="45.54296875" style="1" customWidth="1"/>
    <col min="13570" max="13570" width="8.81640625" style="1" bestFit="1" customWidth="1"/>
    <col min="13571" max="13571" width="13.7265625" style="1" bestFit="1" customWidth="1"/>
    <col min="13572" max="13572" width="16.81640625" style="1" customWidth="1"/>
    <col min="13573" max="13573" width="8.81640625" style="1" bestFit="1" customWidth="1"/>
    <col min="13574" max="13574" width="13.7265625" style="1" bestFit="1" customWidth="1"/>
    <col min="13575" max="13575" width="17.26953125" style="1" customWidth="1"/>
    <col min="13576" max="13576" width="11.453125" style="1"/>
    <col min="13577" max="13585" width="17.7265625" style="1" customWidth="1"/>
    <col min="13586" max="13592" width="18.7265625" style="1" customWidth="1"/>
    <col min="13593" max="13601" width="17.7265625" style="1" customWidth="1"/>
    <col min="13602" max="13608" width="18.7265625" style="1" customWidth="1"/>
    <col min="13609" max="13617" width="17.7265625" style="1" customWidth="1"/>
    <col min="13618" max="13624" width="18.7265625" style="1" customWidth="1"/>
    <col min="13625" max="13633" width="17.7265625" style="1" customWidth="1"/>
    <col min="13634" max="13640" width="18.7265625" style="1" customWidth="1"/>
    <col min="13641" max="13649" width="17.54296875" style="1" customWidth="1"/>
    <col min="13650" max="13656" width="18.54296875" style="1" customWidth="1"/>
    <col min="13657" max="13665" width="17.54296875" style="1" bestFit="1" customWidth="1"/>
    <col min="13666" max="13672" width="18.54296875" style="1" bestFit="1" customWidth="1"/>
    <col min="13673" max="13824" width="11.453125" style="1"/>
    <col min="13825" max="13825" width="45.54296875" style="1" customWidth="1"/>
    <col min="13826" max="13826" width="8.81640625" style="1" bestFit="1" customWidth="1"/>
    <col min="13827" max="13827" width="13.7265625" style="1" bestFit="1" customWidth="1"/>
    <col min="13828" max="13828" width="16.81640625" style="1" customWidth="1"/>
    <col min="13829" max="13829" width="8.81640625" style="1" bestFit="1" customWidth="1"/>
    <col min="13830" max="13830" width="13.7265625" style="1" bestFit="1" customWidth="1"/>
    <col min="13831" max="13831" width="17.26953125" style="1" customWidth="1"/>
    <col min="13832" max="13832" width="11.453125" style="1"/>
    <col min="13833" max="13841" width="17.7265625" style="1" customWidth="1"/>
    <col min="13842" max="13848" width="18.7265625" style="1" customWidth="1"/>
    <col min="13849" max="13857" width="17.7265625" style="1" customWidth="1"/>
    <col min="13858" max="13864" width="18.7265625" style="1" customWidth="1"/>
    <col min="13865" max="13873" width="17.7265625" style="1" customWidth="1"/>
    <col min="13874" max="13880" width="18.7265625" style="1" customWidth="1"/>
    <col min="13881" max="13889" width="17.7265625" style="1" customWidth="1"/>
    <col min="13890" max="13896" width="18.7265625" style="1" customWidth="1"/>
    <col min="13897" max="13905" width="17.54296875" style="1" customWidth="1"/>
    <col min="13906" max="13912" width="18.54296875" style="1" customWidth="1"/>
    <col min="13913" max="13921" width="17.54296875" style="1" bestFit="1" customWidth="1"/>
    <col min="13922" max="13928" width="18.54296875" style="1" bestFit="1" customWidth="1"/>
    <col min="13929" max="14080" width="11.453125" style="1"/>
    <col min="14081" max="14081" width="45.54296875" style="1" customWidth="1"/>
    <col min="14082" max="14082" width="8.81640625" style="1" bestFit="1" customWidth="1"/>
    <col min="14083" max="14083" width="13.7265625" style="1" bestFit="1" customWidth="1"/>
    <col min="14084" max="14084" width="16.81640625" style="1" customWidth="1"/>
    <col min="14085" max="14085" width="8.81640625" style="1" bestFit="1" customWidth="1"/>
    <col min="14086" max="14086" width="13.7265625" style="1" bestFit="1" customWidth="1"/>
    <col min="14087" max="14087" width="17.26953125" style="1" customWidth="1"/>
    <col min="14088" max="14088" width="11.453125" style="1"/>
    <col min="14089" max="14097" width="17.7265625" style="1" customWidth="1"/>
    <col min="14098" max="14104" width="18.7265625" style="1" customWidth="1"/>
    <col min="14105" max="14113" width="17.7265625" style="1" customWidth="1"/>
    <col min="14114" max="14120" width="18.7265625" style="1" customWidth="1"/>
    <col min="14121" max="14129" width="17.7265625" style="1" customWidth="1"/>
    <col min="14130" max="14136" width="18.7265625" style="1" customWidth="1"/>
    <col min="14137" max="14145" width="17.7265625" style="1" customWidth="1"/>
    <col min="14146" max="14152" width="18.7265625" style="1" customWidth="1"/>
    <col min="14153" max="14161" width="17.54296875" style="1" customWidth="1"/>
    <col min="14162" max="14168" width="18.54296875" style="1" customWidth="1"/>
    <col min="14169" max="14177" width="17.54296875" style="1" bestFit="1" customWidth="1"/>
    <col min="14178" max="14184" width="18.54296875" style="1" bestFit="1" customWidth="1"/>
    <col min="14185" max="14336" width="11.453125" style="1"/>
    <col min="14337" max="14337" width="45.54296875" style="1" customWidth="1"/>
    <col min="14338" max="14338" width="8.81640625" style="1" bestFit="1" customWidth="1"/>
    <col min="14339" max="14339" width="13.7265625" style="1" bestFit="1" customWidth="1"/>
    <col min="14340" max="14340" width="16.81640625" style="1" customWidth="1"/>
    <col min="14341" max="14341" width="8.81640625" style="1" bestFit="1" customWidth="1"/>
    <col min="14342" max="14342" width="13.7265625" style="1" bestFit="1" customWidth="1"/>
    <col min="14343" max="14343" width="17.26953125" style="1" customWidth="1"/>
    <col min="14344" max="14344" width="11.453125" style="1"/>
    <col min="14345" max="14353" width="17.7265625" style="1" customWidth="1"/>
    <col min="14354" max="14360" width="18.7265625" style="1" customWidth="1"/>
    <col min="14361" max="14369" width="17.7265625" style="1" customWidth="1"/>
    <col min="14370" max="14376" width="18.7265625" style="1" customWidth="1"/>
    <col min="14377" max="14385" width="17.7265625" style="1" customWidth="1"/>
    <col min="14386" max="14392" width="18.7265625" style="1" customWidth="1"/>
    <col min="14393" max="14401" width="17.7265625" style="1" customWidth="1"/>
    <col min="14402" max="14408" width="18.7265625" style="1" customWidth="1"/>
    <col min="14409" max="14417" width="17.54296875" style="1" customWidth="1"/>
    <col min="14418" max="14424" width="18.54296875" style="1" customWidth="1"/>
    <col min="14425" max="14433" width="17.54296875" style="1" bestFit="1" customWidth="1"/>
    <col min="14434" max="14440" width="18.54296875" style="1" bestFit="1" customWidth="1"/>
    <col min="14441" max="14592" width="11.453125" style="1"/>
    <col min="14593" max="14593" width="45.54296875" style="1" customWidth="1"/>
    <col min="14594" max="14594" width="8.81640625" style="1" bestFit="1" customWidth="1"/>
    <col min="14595" max="14595" width="13.7265625" style="1" bestFit="1" customWidth="1"/>
    <col min="14596" max="14596" width="16.81640625" style="1" customWidth="1"/>
    <col min="14597" max="14597" width="8.81640625" style="1" bestFit="1" customWidth="1"/>
    <col min="14598" max="14598" width="13.7265625" style="1" bestFit="1" customWidth="1"/>
    <col min="14599" max="14599" width="17.26953125" style="1" customWidth="1"/>
    <col min="14600" max="14600" width="11.453125" style="1"/>
    <col min="14601" max="14609" width="17.7265625" style="1" customWidth="1"/>
    <col min="14610" max="14616" width="18.7265625" style="1" customWidth="1"/>
    <col min="14617" max="14625" width="17.7265625" style="1" customWidth="1"/>
    <col min="14626" max="14632" width="18.7265625" style="1" customWidth="1"/>
    <col min="14633" max="14641" width="17.7265625" style="1" customWidth="1"/>
    <col min="14642" max="14648" width="18.7265625" style="1" customWidth="1"/>
    <col min="14649" max="14657" width="17.7265625" style="1" customWidth="1"/>
    <col min="14658" max="14664" width="18.7265625" style="1" customWidth="1"/>
    <col min="14665" max="14673" width="17.54296875" style="1" customWidth="1"/>
    <col min="14674" max="14680" width="18.54296875" style="1" customWidth="1"/>
    <col min="14681" max="14689" width="17.54296875" style="1" bestFit="1" customWidth="1"/>
    <col min="14690" max="14696" width="18.54296875" style="1" bestFit="1" customWidth="1"/>
    <col min="14697" max="14848" width="11.453125" style="1"/>
    <col min="14849" max="14849" width="45.54296875" style="1" customWidth="1"/>
    <col min="14850" max="14850" width="8.81640625" style="1" bestFit="1" customWidth="1"/>
    <col min="14851" max="14851" width="13.7265625" style="1" bestFit="1" customWidth="1"/>
    <col min="14852" max="14852" width="16.81640625" style="1" customWidth="1"/>
    <col min="14853" max="14853" width="8.81640625" style="1" bestFit="1" customWidth="1"/>
    <col min="14854" max="14854" width="13.7265625" style="1" bestFit="1" customWidth="1"/>
    <col min="14855" max="14855" width="17.26953125" style="1" customWidth="1"/>
    <col min="14856" max="14856" width="11.453125" style="1"/>
    <col min="14857" max="14865" width="17.7265625" style="1" customWidth="1"/>
    <col min="14866" max="14872" width="18.7265625" style="1" customWidth="1"/>
    <col min="14873" max="14881" width="17.7265625" style="1" customWidth="1"/>
    <col min="14882" max="14888" width="18.7265625" style="1" customWidth="1"/>
    <col min="14889" max="14897" width="17.7265625" style="1" customWidth="1"/>
    <col min="14898" max="14904" width="18.7265625" style="1" customWidth="1"/>
    <col min="14905" max="14913" width="17.7265625" style="1" customWidth="1"/>
    <col min="14914" max="14920" width="18.7265625" style="1" customWidth="1"/>
    <col min="14921" max="14929" width="17.54296875" style="1" customWidth="1"/>
    <col min="14930" max="14936" width="18.54296875" style="1" customWidth="1"/>
    <col min="14937" max="14945" width="17.54296875" style="1" bestFit="1" customWidth="1"/>
    <col min="14946" max="14952" width="18.54296875" style="1" bestFit="1" customWidth="1"/>
    <col min="14953" max="15104" width="11.453125" style="1"/>
    <col min="15105" max="15105" width="45.54296875" style="1" customWidth="1"/>
    <col min="15106" max="15106" width="8.81640625" style="1" bestFit="1" customWidth="1"/>
    <col min="15107" max="15107" width="13.7265625" style="1" bestFit="1" customWidth="1"/>
    <col min="15108" max="15108" width="16.81640625" style="1" customWidth="1"/>
    <col min="15109" max="15109" width="8.81640625" style="1" bestFit="1" customWidth="1"/>
    <col min="15110" max="15110" width="13.7265625" style="1" bestFit="1" customWidth="1"/>
    <col min="15111" max="15111" width="17.26953125" style="1" customWidth="1"/>
    <col min="15112" max="15112" width="11.453125" style="1"/>
    <col min="15113" max="15121" width="17.7265625" style="1" customWidth="1"/>
    <col min="15122" max="15128" width="18.7265625" style="1" customWidth="1"/>
    <col min="15129" max="15137" width="17.7265625" style="1" customWidth="1"/>
    <col min="15138" max="15144" width="18.7265625" style="1" customWidth="1"/>
    <col min="15145" max="15153" width="17.7265625" style="1" customWidth="1"/>
    <col min="15154" max="15160" width="18.7265625" style="1" customWidth="1"/>
    <col min="15161" max="15169" width="17.7265625" style="1" customWidth="1"/>
    <col min="15170" max="15176" width="18.7265625" style="1" customWidth="1"/>
    <col min="15177" max="15185" width="17.54296875" style="1" customWidth="1"/>
    <col min="15186" max="15192" width="18.54296875" style="1" customWidth="1"/>
    <col min="15193" max="15201" width="17.54296875" style="1" bestFit="1" customWidth="1"/>
    <col min="15202" max="15208" width="18.54296875" style="1" bestFit="1" customWidth="1"/>
    <col min="15209" max="15360" width="11.453125" style="1"/>
    <col min="15361" max="15361" width="45.54296875" style="1" customWidth="1"/>
    <col min="15362" max="15362" width="8.81640625" style="1" bestFit="1" customWidth="1"/>
    <col min="15363" max="15363" width="13.7265625" style="1" bestFit="1" customWidth="1"/>
    <col min="15364" max="15364" width="16.81640625" style="1" customWidth="1"/>
    <col min="15365" max="15365" width="8.81640625" style="1" bestFit="1" customWidth="1"/>
    <col min="15366" max="15366" width="13.7265625" style="1" bestFit="1" customWidth="1"/>
    <col min="15367" max="15367" width="17.26953125" style="1" customWidth="1"/>
    <col min="15368" max="15368" width="11.453125" style="1"/>
    <col min="15369" max="15377" width="17.7265625" style="1" customWidth="1"/>
    <col min="15378" max="15384" width="18.7265625" style="1" customWidth="1"/>
    <col min="15385" max="15393" width="17.7265625" style="1" customWidth="1"/>
    <col min="15394" max="15400" width="18.7265625" style="1" customWidth="1"/>
    <col min="15401" max="15409" width="17.7265625" style="1" customWidth="1"/>
    <col min="15410" max="15416" width="18.7265625" style="1" customWidth="1"/>
    <col min="15417" max="15425" width="17.7265625" style="1" customWidth="1"/>
    <col min="15426" max="15432" width="18.7265625" style="1" customWidth="1"/>
    <col min="15433" max="15441" width="17.54296875" style="1" customWidth="1"/>
    <col min="15442" max="15448" width="18.54296875" style="1" customWidth="1"/>
    <col min="15449" max="15457" width="17.54296875" style="1" bestFit="1" customWidth="1"/>
    <col min="15458" max="15464" width="18.54296875" style="1" bestFit="1" customWidth="1"/>
    <col min="15465" max="15616" width="11.453125" style="1"/>
    <col min="15617" max="15617" width="45.54296875" style="1" customWidth="1"/>
    <col min="15618" max="15618" width="8.81640625" style="1" bestFit="1" customWidth="1"/>
    <col min="15619" max="15619" width="13.7265625" style="1" bestFit="1" customWidth="1"/>
    <col min="15620" max="15620" width="16.81640625" style="1" customWidth="1"/>
    <col min="15621" max="15621" width="8.81640625" style="1" bestFit="1" customWidth="1"/>
    <col min="15622" max="15622" width="13.7265625" style="1" bestFit="1" customWidth="1"/>
    <col min="15623" max="15623" width="17.26953125" style="1" customWidth="1"/>
    <col min="15624" max="15624" width="11.453125" style="1"/>
    <col min="15625" max="15633" width="17.7265625" style="1" customWidth="1"/>
    <col min="15634" max="15640" width="18.7265625" style="1" customWidth="1"/>
    <col min="15641" max="15649" width="17.7265625" style="1" customWidth="1"/>
    <col min="15650" max="15656" width="18.7265625" style="1" customWidth="1"/>
    <col min="15657" max="15665" width="17.7265625" style="1" customWidth="1"/>
    <col min="15666" max="15672" width="18.7265625" style="1" customWidth="1"/>
    <col min="15673" max="15681" width="17.7265625" style="1" customWidth="1"/>
    <col min="15682" max="15688" width="18.7265625" style="1" customWidth="1"/>
    <col min="15689" max="15697" width="17.54296875" style="1" customWidth="1"/>
    <col min="15698" max="15704" width="18.54296875" style="1" customWidth="1"/>
    <col min="15705" max="15713" width="17.54296875" style="1" bestFit="1" customWidth="1"/>
    <col min="15714" max="15720" width="18.54296875" style="1" bestFit="1" customWidth="1"/>
    <col min="15721" max="15872" width="11.453125" style="1"/>
    <col min="15873" max="15873" width="45.54296875" style="1" customWidth="1"/>
    <col min="15874" max="15874" width="8.81640625" style="1" bestFit="1" customWidth="1"/>
    <col min="15875" max="15875" width="13.7265625" style="1" bestFit="1" customWidth="1"/>
    <col min="15876" max="15876" width="16.81640625" style="1" customWidth="1"/>
    <col min="15877" max="15877" width="8.81640625" style="1" bestFit="1" customWidth="1"/>
    <col min="15878" max="15878" width="13.7265625" style="1" bestFit="1" customWidth="1"/>
    <col min="15879" max="15879" width="17.26953125" style="1" customWidth="1"/>
    <col min="15880" max="15880" width="11.453125" style="1"/>
    <col min="15881" max="15889" width="17.7265625" style="1" customWidth="1"/>
    <col min="15890" max="15896" width="18.7265625" style="1" customWidth="1"/>
    <col min="15897" max="15905" width="17.7265625" style="1" customWidth="1"/>
    <col min="15906" max="15912" width="18.7265625" style="1" customWidth="1"/>
    <col min="15913" max="15921" width="17.7265625" style="1" customWidth="1"/>
    <col min="15922" max="15928" width="18.7265625" style="1" customWidth="1"/>
    <col min="15929" max="15937" width="17.7265625" style="1" customWidth="1"/>
    <col min="15938" max="15944" width="18.7265625" style="1" customWidth="1"/>
    <col min="15945" max="15953" width="17.54296875" style="1" customWidth="1"/>
    <col min="15954" max="15960" width="18.54296875" style="1" customWidth="1"/>
    <col min="15961" max="15969" width="17.54296875" style="1" bestFit="1" customWidth="1"/>
    <col min="15970" max="15976" width="18.54296875" style="1" bestFit="1" customWidth="1"/>
    <col min="15977" max="16128" width="11.453125" style="1"/>
    <col min="16129" max="16129" width="45.54296875" style="1" customWidth="1"/>
    <col min="16130" max="16130" width="8.81640625" style="1" bestFit="1" customWidth="1"/>
    <col min="16131" max="16131" width="13.7265625" style="1" bestFit="1" customWidth="1"/>
    <col min="16132" max="16132" width="16.81640625" style="1" customWidth="1"/>
    <col min="16133" max="16133" width="8.81640625" style="1" bestFit="1" customWidth="1"/>
    <col min="16134" max="16134" width="13.7265625" style="1" bestFit="1" customWidth="1"/>
    <col min="16135" max="16135" width="17.26953125" style="1" customWidth="1"/>
    <col min="16136" max="16136" width="11.453125" style="1"/>
    <col min="16137" max="16145" width="17.7265625" style="1" customWidth="1"/>
    <col min="16146" max="16152" width="18.7265625" style="1" customWidth="1"/>
    <col min="16153" max="16161" width="17.7265625" style="1" customWidth="1"/>
    <col min="16162" max="16168" width="18.7265625" style="1" customWidth="1"/>
    <col min="16169" max="16177" width="17.7265625" style="1" customWidth="1"/>
    <col min="16178" max="16184" width="18.7265625" style="1" customWidth="1"/>
    <col min="16185" max="16193" width="17.7265625" style="1" customWidth="1"/>
    <col min="16194" max="16200" width="18.7265625" style="1" customWidth="1"/>
    <col min="16201" max="16209" width="17.54296875" style="1" customWidth="1"/>
    <col min="16210" max="16216" width="18.54296875" style="1" customWidth="1"/>
    <col min="16217" max="16225" width="17.54296875" style="1" bestFit="1" customWidth="1"/>
    <col min="16226" max="16232" width="18.54296875" style="1" bestFit="1" customWidth="1"/>
    <col min="16233" max="16384" width="11.453125" style="1"/>
  </cols>
  <sheetData>
    <row r="1" spans="1:104" ht="18" customHeight="1" thickBot="1" x14ac:dyDescent="0.35">
      <c r="G1" s="2" t="s">
        <v>0</v>
      </c>
    </row>
    <row r="3" spans="1:104" ht="23.5" x14ac:dyDescent="0.55000000000000004">
      <c r="A3" s="783" t="s">
        <v>1</v>
      </c>
      <c r="B3" s="783"/>
      <c r="C3" s="783"/>
      <c r="D3" s="783"/>
      <c r="E3" s="783"/>
      <c r="F3" s="783"/>
      <c r="G3" s="783"/>
    </row>
    <row r="4" spans="1:104" ht="23.5" x14ac:dyDescent="0.55000000000000004">
      <c r="A4" s="783" t="s">
        <v>2</v>
      </c>
      <c r="B4" s="783"/>
      <c r="C4" s="783"/>
      <c r="D4" s="783"/>
      <c r="E4" s="783"/>
      <c r="F4" s="783"/>
      <c r="G4" s="783"/>
    </row>
    <row r="5" spans="1:104" ht="23.5" x14ac:dyDescent="0.55000000000000004">
      <c r="A5" s="783" t="s">
        <v>3</v>
      </c>
      <c r="B5" s="783"/>
      <c r="C5" s="783"/>
      <c r="D5" s="783"/>
      <c r="E5" s="783"/>
      <c r="F5" s="783"/>
      <c r="G5" s="783"/>
    </row>
    <row r="6" spans="1:104" ht="18.5" x14ac:dyDescent="0.45">
      <c r="A6" s="784" t="s">
        <v>31</v>
      </c>
      <c r="B6" s="784"/>
      <c r="C6" s="784"/>
      <c r="D6" s="784"/>
      <c r="E6" s="784"/>
      <c r="F6" s="784"/>
      <c r="G6" s="784"/>
    </row>
    <row r="7" spans="1:104" ht="18.5" x14ac:dyDescent="0.45">
      <c r="A7" s="784" t="s">
        <v>4</v>
      </c>
      <c r="B7" s="784"/>
      <c r="C7" s="784"/>
      <c r="D7" s="784"/>
      <c r="E7" s="784"/>
      <c r="F7" s="784"/>
      <c r="G7" s="784"/>
    </row>
    <row r="9" spans="1:104" ht="13.5" thickBot="1" x14ac:dyDescent="0.35"/>
    <row r="10" spans="1:104" ht="13.5" thickBot="1" x14ac:dyDescent="0.35">
      <c r="A10" s="777" t="s">
        <v>5</v>
      </c>
      <c r="B10" s="780" t="s">
        <v>6</v>
      </c>
      <c r="C10" s="781"/>
      <c r="D10" s="782"/>
      <c r="E10" s="780" t="s">
        <v>7</v>
      </c>
      <c r="F10" s="781"/>
      <c r="G10" s="782"/>
    </row>
    <row r="11" spans="1:104" x14ac:dyDescent="0.3">
      <c r="A11" s="778"/>
      <c r="B11" s="3" t="s">
        <v>8</v>
      </c>
      <c r="C11" s="3" t="s">
        <v>8</v>
      </c>
      <c r="D11" s="4"/>
      <c r="E11" s="3" t="s">
        <v>8</v>
      </c>
      <c r="F11" s="3" t="s">
        <v>8</v>
      </c>
      <c r="G11" s="4"/>
    </row>
    <row r="12" spans="1:104" ht="13.5" thickBot="1" x14ac:dyDescent="0.35">
      <c r="A12" s="779"/>
      <c r="B12" s="5" t="s">
        <v>9</v>
      </c>
      <c r="C12" s="5" t="s">
        <v>10</v>
      </c>
      <c r="D12" s="5" t="s">
        <v>11</v>
      </c>
      <c r="E12" s="5" t="s">
        <v>9</v>
      </c>
      <c r="F12" s="5" t="s">
        <v>10</v>
      </c>
      <c r="G12" s="5" t="s">
        <v>11</v>
      </c>
    </row>
    <row r="13" spans="1:104" x14ac:dyDescent="0.3">
      <c r="A13" s="6"/>
      <c r="B13" s="6"/>
      <c r="C13" s="6"/>
      <c r="D13" s="6"/>
      <c r="E13" s="6"/>
      <c r="F13" s="6"/>
      <c r="G13" s="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4" x14ac:dyDescent="0.3">
      <c r="A14" s="8" t="s">
        <v>12</v>
      </c>
      <c r="B14" s="9">
        <v>1777</v>
      </c>
      <c r="C14" s="9">
        <v>454136</v>
      </c>
      <c r="D14" s="9">
        <v>9246277503.5900002</v>
      </c>
      <c r="E14" s="9">
        <v>11703</v>
      </c>
      <c r="F14" s="9">
        <v>103332</v>
      </c>
      <c r="G14" s="9">
        <v>19840926711.110001</v>
      </c>
    </row>
    <row r="15" spans="1:104" x14ac:dyDescent="0.3">
      <c r="A15" s="6"/>
      <c r="B15" s="10"/>
      <c r="C15" s="10"/>
      <c r="D15" s="10"/>
      <c r="E15" s="10"/>
      <c r="F15" s="10"/>
      <c r="G15" s="10"/>
    </row>
    <row r="16" spans="1:104" x14ac:dyDescent="0.3">
      <c r="A16" s="11" t="s">
        <v>13</v>
      </c>
      <c r="B16" s="9">
        <v>1559</v>
      </c>
      <c r="C16" s="9">
        <v>134885</v>
      </c>
      <c r="D16" s="9">
        <v>2754260980.3500004</v>
      </c>
      <c r="E16" s="9">
        <v>11441</v>
      </c>
      <c r="F16" s="9">
        <v>42806</v>
      </c>
      <c r="G16" s="9">
        <v>4568972173.5999994</v>
      </c>
    </row>
    <row r="17" spans="1:7" x14ac:dyDescent="0.3">
      <c r="A17" s="6"/>
      <c r="B17" s="10"/>
      <c r="C17" s="10"/>
      <c r="D17" s="10"/>
      <c r="E17" s="10"/>
      <c r="F17" s="10"/>
      <c r="G17" s="10"/>
    </row>
    <row r="18" spans="1:7" x14ac:dyDescent="0.3">
      <c r="A18" s="6" t="s">
        <v>14</v>
      </c>
      <c r="B18" s="10">
        <v>1285</v>
      </c>
      <c r="C18" s="10">
        <v>50713</v>
      </c>
      <c r="D18" s="10">
        <v>2196002596.5500002</v>
      </c>
      <c r="E18" s="10">
        <v>11428</v>
      </c>
      <c r="F18" s="10">
        <v>33235</v>
      </c>
      <c r="G18" s="10">
        <v>3095257340.6199999</v>
      </c>
    </row>
    <row r="19" spans="1:7" x14ac:dyDescent="0.3">
      <c r="A19" s="12" t="s">
        <v>15</v>
      </c>
      <c r="B19" s="10">
        <v>0</v>
      </c>
      <c r="C19" s="10">
        <v>76412</v>
      </c>
      <c r="D19" s="10">
        <v>255963016.43000001</v>
      </c>
      <c r="E19" s="10">
        <v>0</v>
      </c>
      <c r="F19" s="10">
        <v>8807</v>
      </c>
      <c r="G19" s="10">
        <v>1329715268.02</v>
      </c>
    </row>
    <row r="20" spans="1:7" x14ac:dyDescent="0.3">
      <c r="A20" s="6" t="s">
        <v>16</v>
      </c>
      <c r="B20" s="10">
        <v>0</v>
      </c>
      <c r="C20" s="10">
        <v>0</v>
      </c>
      <c r="D20" s="10">
        <v>181142.61</v>
      </c>
      <c r="E20" s="10">
        <v>0</v>
      </c>
      <c r="F20" s="10">
        <v>0</v>
      </c>
      <c r="G20" s="10">
        <v>5196115.05</v>
      </c>
    </row>
    <row r="21" spans="1:7" x14ac:dyDescent="0.3">
      <c r="A21" s="6" t="s">
        <v>17</v>
      </c>
      <c r="B21" s="10">
        <v>274</v>
      </c>
      <c r="C21" s="10">
        <v>7760</v>
      </c>
      <c r="D21" s="10">
        <v>302114224.75999999</v>
      </c>
      <c r="E21" s="10">
        <v>13</v>
      </c>
      <c r="F21" s="10">
        <v>764</v>
      </c>
      <c r="G21" s="10">
        <v>138803449.91</v>
      </c>
    </row>
    <row r="22" spans="1:7" x14ac:dyDescent="0.3">
      <c r="A22" s="6"/>
      <c r="B22" s="10"/>
      <c r="C22" s="10"/>
      <c r="D22" s="10"/>
      <c r="E22" s="10"/>
      <c r="F22" s="10"/>
      <c r="G22" s="10"/>
    </row>
    <row r="23" spans="1:7" x14ac:dyDescent="0.3">
      <c r="A23" s="11" t="s">
        <v>18</v>
      </c>
      <c r="B23" s="9">
        <v>1529</v>
      </c>
      <c r="C23" s="9">
        <v>283781</v>
      </c>
      <c r="D23" s="9">
        <v>2256509664.46</v>
      </c>
      <c r="E23" s="9">
        <v>5656</v>
      </c>
      <c r="F23" s="9">
        <v>30203</v>
      </c>
      <c r="G23" s="9">
        <v>3302618605.1300001</v>
      </c>
    </row>
    <row r="24" spans="1:7" x14ac:dyDescent="0.3">
      <c r="A24" s="6"/>
      <c r="B24" s="10"/>
      <c r="C24" s="10"/>
      <c r="D24" s="10"/>
      <c r="E24" s="10"/>
      <c r="F24" s="10"/>
      <c r="G24" s="10"/>
    </row>
    <row r="25" spans="1:7" x14ac:dyDescent="0.3">
      <c r="A25" s="6" t="s">
        <v>19</v>
      </c>
      <c r="B25" s="10">
        <v>28</v>
      </c>
      <c r="C25" s="10">
        <v>1667</v>
      </c>
      <c r="D25" s="10">
        <v>3164261.98</v>
      </c>
      <c r="E25" s="10">
        <v>275</v>
      </c>
      <c r="F25" s="10">
        <v>11058</v>
      </c>
      <c r="G25" s="10">
        <v>14400016.050000001</v>
      </c>
    </row>
    <row r="26" spans="1:7" x14ac:dyDescent="0.3">
      <c r="A26" s="6" t="s">
        <v>20</v>
      </c>
      <c r="B26" s="10">
        <v>0</v>
      </c>
      <c r="C26" s="10">
        <v>0</v>
      </c>
      <c r="D26" s="10">
        <v>53769642.840000004</v>
      </c>
      <c r="E26" s="10">
        <v>0</v>
      </c>
      <c r="F26" s="10">
        <v>0</v>
      </c>
      <c r="G26" s="10">
        <v>105660623.2</v>
      </c>
    </row>
    <row r="27" spans="1:7" x14ac:dyDescent="0.3">
      <c r="A27" s="6" t="s">
        <v>21</v>
      </c>
      <c r="B27" s="10">
        <v>947</v>
      </c>
      <c r="C27" s="10">
        <v>4651</v>
      </c>
      <c r="D27" s="10">
        <v>283468010.74000001</v>
      </c>
      <c r="E27" s="10">
        <v>4768</v>
      </c>
      <c r="F27" s="10">
        <v>4121</v>
      </c>
      <c r="G27" s="10">
        <v>1040140753.22</v>
      </c>
    </row>
    <row r="28" spans="1:7" x14ac:dyDescent="0.3">
      <c r="A28" s="6" t="s">
        <v>22</v>
      </c>
      <c r="B28" s="10">
        <v>0</v>
      </c>
      <c r="C28" s="10">
        <v>3609</v>
      </c>
      <c r="D28" s="10">
        <v>49616680.189999998</v>
      </c>
      <c r="E28" s="10">
        <v>0</v>
      </c>
      <c r="F28" s="10">
        <v>3219</v>
      </c>
      <c r="G28" s="10">
        <v>670366736.39999998</v>
      </c>
    </row>
    <row r="29" spans="1:7" x14ac:dyDescent="0.3">
      <c r="A29" s="6" t="s">
        <v>23</v>
      </c>
      <c r="B29" s="10">
        <v>172</v>
      </c>
      <c r="C29" s="10">
        <v>10568</v>
      </c>
      <c r="D29" s="10">
        <v>96633779.579999998</v>
      </c>
      <c r="E29" s="10">
        <v>340</v>
      </c>
      <c r="F29" s="10">
        <v>10106</v>
      </c>
      <c r="G29" s="10">
        <v>1277810511</v>
      </c>
    </row>
    <row r="30" spans="1:7" x14ac:dyDescent="0.3">
      <c r="A30" s="6" t="s">
        <v>24</v>
      </c>
      <c r="B30" s="10">
        <v>302</v>
      </c>
      <c r="C30" s="10">
        <v>19690</v>
      </c>
      <c r="D30" s="10">
        <v>329658362.80000001</v>
      </c>
      <c r="E30" s="10">
        <v>266</v>
      </c>
      <c r="F30" s="10">
        <v>1198</v>
      </c>
      <c r="G30" s="10">
        <v>189012746.46000001</v>
      </c>
    </row>
    <row r="31" spans="1:7" x14ac:dyDescent="0.3">
      <c r="A31" s="6" t="s">
        <v>25</v>
      </c>
      <c r="B31" s="10">
        <v>0</v>
      </c>
      <c r="C31" s="10">
        <v>0</v>
      </c>
      <c r="D31" s="10">
        <v>0</v>
      </c>
      <c r="E31" s="10">
        <v>0</v>
      </c>
      <c r="F31" s="10">
        <v>0</v>
      </c>
      <c r="G31" s="10">
        <v>0</v>
      </c>
    </row>
    <row r="32" spans="1:7" x14ac:dyDescent="0.3">
      <c r="A32" s="6" t="s">
        <v>17</v>
      </c>
      <c r="B32" s="10">
        <v>80</v>
      </c>
      <c r="C32" s="10">
        <v>243596</v>
      </c>
      <c r="D32" s="10">
        <v>1440198926.3299999</v>
      </c>
      <c r="E32" s="10">
        <v>7</v>
      </c>
      <c r="F32" s="10">
        <v>501</v>
      </c>
      <c r="G32" s="10">
        <v>5227218.8</v>
      </c>
    </row>
    <row r="33" spans="1:7" x14ac:dyDescent="0.3">
      <c r="A33" s="6"/>
      <c r="B33" s="10"/>
      <c r="C33" s="10"/>
      <c r="D33" s="10"/>
      <c r="E33" s="10"/>
      <c r="F33" s="10"/>
      <c r="G33" s="10"/>
    </row>
    <row r="34" spans="1:7" x14ac:dyDescent="0.3">
      <c r="A34" s="11" t="s">
        <v>26</v>
      </c>
      <c r="B34" s="9">
        <v>1807</v>
      </c>
      <c r="C34" s="9">
        <v>305240</v>
      </c>
      <c r="D34" s="9">
        <v>9744028819.4799995</v>
      </c>
      <c r="E34" s="9">
        <v>17488</v>
      </c>
      <c r="F34" s="9">
        <v>115935</v>
      </c>
      <c r="G34" s="9">
        <v>21107280279.579998</v>
      </c>
    </row>
    <row r="35" spans="1:7" ht="13.5" thickBot="1" x14ac:dyDescent="0.35">
      <c r="A35" s="13"/>
      <c r="B35" s="14"/>
      <c r="C35" s="14"/>
      <c r="D35" s="14"/>
      <c r="E35" s="14"/>
      <c r="F35" s="14"/>
      <c r="G35" s="14"/>
    </row>
    <row r="36" spans="1:7" x14ac:dyDescent="0.3">
      <c r="A36" s="15" t="s">
        <v>27</v>
      </c>
    </row>
    <row r="37" spans="1:7" x14ac:dyDescent="0.3">
      <c r="A37" s="15" t="s">
        <v>28</v>
      </c>
      <c r="G37" s="16"/>
    </row>
    <row r="38" spans="1:7" x14ac:dyDescent="0.3">
      <c r="A38" s="15" t="s">
        <v>29</v>
      </c>
    </row>
    <row r="39" spans="1:7" x14ac:dyDescent="0.3">
      <c r="A39" s="15" t="s">
        <v>32</v>
      </c>
    </row>
    <row r="40" spans="1:7" x14ac:dyDescent="0.3">
      <c r="A40" s="15" t="s">
        <v>30</v>
      </c>
      <c r="B40" s="17"/>
      <c r="C40" s="17"/>
      <c r="D40" s="18"/>
      <c r="E40" s="17"/>
      <c r="F40" s="17"/>
      <c r="G40" s="17"/>
    </row>
  </sheetData>
  <mergeCells count="8">
    <mergeCell ref="A10:A12"/>
    <mergeCell ref="B10:D10"/>
    <mergeCell ref="E10:G10"/>
    <mergeCell ref="A3:G3"/>
    <mergeCell ref="A4:G4"/>
    <mergeCell ref="A5:G5"/>
    <mergeCell ref="A6:G6"/>
    <mergeCell ref="A7:G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Z40"/>
  <sheetViews>
    <sheetView workbookViewId="0">
      <selection activeCell="B9" sqref="B9:G11"/>
    </sheetView>
  </sheetViews>
  <sheetFormatPr baseColWidth="10" defaultColWidth="11.453125" defaultRowHeight="13" x14ac:dyDescent="0.3"/>
  <cols>
    <col min="1" max="1" width="45.54296875" style="1" customWidth="1"/>
    <col min="2" max="2" width="8.81640625" style="1" bestFit="1" customWidth="1"/>
    <col min="3" max="3" width="13.7265625" style="1" bestFit="1" customWidth="1"/>
    <col min="4" max="4" width="16.81640625" style="1" customWidth="1"/>
    <col min="5" max="5" width="8.81640625" style="1" bestFit="1" customWidth="1"/>
    <col min="6" max="6" width="13.7265625" style="1" bestFit="1" customWidth="1"/>
    <col min="7" max="7" width="17.26953125" style="1" customWidth="1"/>
    <col min="8" max="8" width="11.453125" style="1"/>
    <col min="9" max="17" width="17.7265625" style="1" customWidth="1"/>
    <col min="18" max="24" width="18.7265625" style="1" customWidth="1"/>
    <col min="25" max="33" width="17.7265625" style="1" customWidth="1"/>
    <col min="34" max="40" width="18.7265625" style="1" customWidth="1"/>
    <col min="41" max="49" width="17.7265625" style="1" customWidth="1"/>
    <col min="50" max="56" width="18.7265625" style="1" customWidth="1"/>
    <col min="57" max="65" width="17.7265625" style="1" customWidth="1"/>
    <col min="66" max="72" width="18.7265625" style="1" customWidth="1"/>
    <col min="73" max="81" width="17.54296875" style="1" customWidth="1"/>
    <col min="82" max="88" width="18.54296875" style="1" customWidth="1"/>
    <col min="89" max="97" width="17.54296875" style="1" bestFit="1" customWidth="1"/>
    <col min="98" max="104" width="18.54296875" style="1" bestFit="1" customWidth="1"/>
    <col min="105" max="256" width="11.453125" style="1"/>
    <col min="257" max="257" width="45.54296875" style="1" customWidth="1"/>
    <col min="258" max="258" width="8.81640625" style="1" bestFit="1" customWidth="1"/>
    <col min="259" max="259" width="13.7265625" style="1" bestFit="1" customWidth="1"/>
    <col min="260" max="260" width="16.81640625" style="1" customWidth="1"/>
    <col min="261" max="261" width="8.81640625" style="1" bestFit="1" customWidth="1"/>
    <col min="262" max="262" width="13.7265625" style="1" bestFit="1" customWidth="1"/>
    <col min="263" max="263" width="17.26953125" style="1" customWidth="1"/>
    <col min="264" max="264" width="11.453125" style="1"/>
    <col min="265" max="273" width="17.7265625" style="1" customWidth="1"/>
    <col min="274" max="280" width="18.7265625" style="1" customWidth="1"/>
    <col min="281" max="289" width="17.7265625" style="1" customWidth="1"/>
    <col min="290" max="296" width="18.7265625" style="1" customWidth="1"/>
    <col min="297" max="305" width="17.7265625" style="1" customWidth="1"/>
    <col min="306" max="312" width="18.7265625" style="1" customWidth="1"/>
    <col min="313" max="321" width="17.7265625" style="1" customWidth="1"/>
    <col min="322" max="328" width="18.7265625" style="1" customWidth="1"/>
    <col min="329" max="337" width="17.54296875" style="1" customWidth="1"/>
    <col min="338" max="344" width="18.54296875" style="1" customWidth="1"/>
    <col min="345" max="353" width="17.54296875" style="1" bestFit="1" customWidth="1"/>
    <col min="354" max="360" width="18.54296875" style="1" bestFit="1" customWidth="1"/>
    <col min="361" max="512" width="11.453125" style="1"/>
    <col min="513" max="513" width="45.54296875" style="1" customWidth="1"/>
    <col min="514" max="514" width="8.81640625" style="1" bestFit="1" customWidth="1"/>
    <col min="515" max="515" width="13.7265625" style="1" bestFit="1" customWidth="1"/>
    <col min="516" max="516" width="16.81640625" style="1" customWidth="1"/>
    <col min="517" max="517" width="8.81640625" style="1" bestFit="1" customWidth="1"/>
    <col min="518" max="518" width="13.7265625" style="1" bestFit="1" customWidth="1"/>
    <col min="519" max="519" width="17.26953125" style="1" customWidth="1"/>
    <col min="520" max="520" width="11.453125" style="1"/>
    <col min="521" max="529" width="17.7265625" style="1" customWidth="1"/>
    <col min="530" max="536" width="18.7265625" style="1" customWidth="1"/>
    <col min="537" max="545" width="17.7265625" style="1" customWidth="1"/>
    <col min="546" max="552" width="18.7265625" style="1" customWidth="1"/>
    <col min="553" max="561" width="17.7265625" style="1" customWidth="1"/>
    <col min="562" max="568" width="18.7265625" style="1" customWidth="1"/>
    <col min="569" max="577" width="17.7265625" style="1" customWidth="1"/>
    <col min="578" max="584" width="18.7265625" style="1" customWidth="1"/>
    <col min="585" max="593" width="17.54296875" style="1" customWidth="1"/>
    <col min="594" max="600" width="18.54296875" style="1" customWidth="1"/>
    <col min="601" max="609" width="17.54296875" style="1" bestFit="1" customWidth="1"/>
    <col min="610" max="616" width="18.54296875" style="1" bestFit="1" customWidth="1"/>
    <col min="617" max="768" width="11.453125" style="1"/>
    <col min="769" max="769" width="45.54296875" style="1" customWidth="1"/>
    <col min="770" max="770" width="8.81640625" style="1" bestFit="1" customWidth="1"/>
    <col min="771" max="771" width="13.7265625" style="1" bestFit="1" customWidth="1"/>
    <col min="772" max="772" width="16.81640625" style="1" customWidth="1"/>
    <col min="773" max="773" width="8.81640625" style="1" bestFit="1" customWidth="1"/>
    <col min="774" max="774" width="13.7265625" style="1" bestFit="1" customWidth="1"/>
    <col min="775" max="775" width="17.26953125" style="1" customWidth="1"/>
    <col min="776" max="776" width="11.453125" style="1"/>
    <col min="777" max="785" width="17.7265625" style="1" customWidth="1"/>
    <col min="786" max="792" width="18.7265625" style="1" customWidth="1"/>
    <col min="793" max="801" width="17.7265625" style="1" customWidth="1"/>
    <col min="802" max="808" width="18.7265625" style="1" customWidth="1"/>
    <col min="809" max="817" width="17.7265625" style="1" customWidth="1"/>
    <col min="818" max="824" width="18.7265625" style="1" customWidth="1"/>
    <col min="825" max="833" width="17.7265625" style="1" customWidth="1"/>
    <col min="834" max="840" width="18.7265625" style="1" customWidth="1"/>
    <col min="841" max="849" width="17.54296875" style="1" customWidth="1"/>
    <col min="850" max="856" width="18.54296875" style="1" customWidth="1"/>
    <col min="857" max="865" width="17.54296875" style="1" bestFit="1" customWidth="1"/>
    <col min="866" max="872" width="18.54296875" style="1" bestFit="1" customWidth="1"/>
    <col min="873" max="1024" width="11.453125" style="1"/>
    <col min="1025" max="1025" width="45.54296875" style="1" customWidth="1"/>
    <col min="1026" max="1026" width="8.81640625" style="1" bestFit="1" customWidth="1"/>
    <col min="1027" max="1027" width="13.7265625" style="1" bestFit="1" customWidth="1"/>
    <col min="1028" max="1028" width="16.81640625" style="1" customWidth="1"/>
    <col min="1029" max="1029" width="8.81640625" style="1" bestFit="1" customWidth="1"/>
    <col min="1030" max="1030" width="13.7265625" style="1" bestFit="1" customWidth="1"/>
    <col min="1031" max="1031" width="17.26953125" style="1" customWidth="1"/>
    <col min="1032" max="1032" width="11.453125" style="1"/>
    <col min="1033" max="1041" width="17.7265625" style="1" customWidth="1"/>
    <col min="1042" max="1048" width="18.7265625" style="1" customWidth="1"/>
    <col min="1049" max="1057" width="17.7265625" style="1" customWidth="1"/>
    <col min="1058" max="1064" width="18.7265625" style="1" customWidth="1"/>
    <col min="1065" max="1073" width="17.7265625" style="1" customWidth="1"/>
    <col min="1074" max="1080" width="18.7265625" style="1" customWidth="1"/>
    <col min="1081" max="1089" width="17.7265625" style="1" customWidth="1"/>
    <col min="1090" max="1096" width="18.7265625" style="1" customWidth="1"/>
    <col min="1097" max="1105" width="17.54296875" style="1" customWidth="1"/>
    <col min="1106" max="1112" width="18.54296875" style="1" customWidth="1"/>
    <col min="1113" max="1121" width="17.54296875" style="1" bestFit="1" customWidth="1"/>
    <col min="1122" max="1128" width="18.54296875" style="1" bestFit="1" customWidth="1"/>
    <col min="1129" max="1280" width="11.453125" style="1"/>
    <col min="1281" max="1281" width="45.54296875" style="1" customWidth="1"/>
    <col min="1282" max="1282" width="8.81640625" style="1" bestFit="1" customWidth="1"/>
    <col min="1283" max="1283" width="13.7265625" style="1" bestFit="1" customWidth="1"/>
    <col min="1284" max="1284" width="16.81640625" style="1" customWidth="1"/>
    <col min="1285" max="1285" width="8.81640625" style="1" bestFit="1" customWidth="1"/>
    <col min="1286" max="1286" width="13.7265625" style="1" bestFit="1" customWidth="1"/>
    <col min="1287" max="1287" width="17.26953125" style="1" customWidth="1"/>
    <col min="1288" max="1288" width="11.453125" style="1"/>
    <col min="1289" max="1297" width="17.7265625" style="1" customWidth="1"/>
    <col min="1298" max="1304" width="18.7265625" style="1" customWidth="1"/>
    <col min="1305" max="1313" width="17.7265625" style="1" customWidth="1"/>
    <col min="1314" max="1320" width="18.7265625" style="1" customWidth="1"/>
    <col min="1321" max="1329" width="17.7265625" style="1" customWidth="1"/>
    <col min="1330" max="1336" width="18.7265625" style="1" customWidth="1"/>
    <col min="1337" max="1345" width="17.7265625" style="1" customWidth="1"/>
    <col min="1346" max="1352" width="18.7265625" style="1" customWidth="1"/>
    <col min="1353" max="1361" width="17.54296875" style="1" customWidth="1"/>
    <col min="1362" max="1368" width="18.54296875" style="1" customWidth="1"/>
    <col min="1369" max="1377" width="17.54296875" style="1" bestFit="1" customWidth="1"/>
    <col min="1378" max="1384" width="18.54296875" style="1" bestFit="1" customWidth="1"/>
    <col min="1385" max="1536" width="11.453125" style="1"/>
    <col min="1537" max="1537" width="45.54296875" style="1" customWidth="1"/>
    <col min="1538" max="1538" width="8.81640625" style="1" bestFit="1" customWidth="1"/>
    <col min="1539" max="1539" width="13.7265625" style="1" bestFit="1" customWidth="1"/>
    <col min="1540" max="1540" width="16.81640625" style="1" customWidth="1"/>
    <col min="1541" max="1541" width="8.81640625" style="1" bestFit="1" customWidth="1"/>
    <col min="1542" max="1542" width="13.7265625" style="1" bestFit="1" customWidth="1"/>
    <col min="1543" max="1543" width="17.26953125" style="1" customWidth="1"/>
    <col min="1544" max="1544" width="11.453125" style="1"/>
    <col min="1545" max="1553" width="17.7265625" style="1" customWidth="1"/>
    <col min="1554" max="1560" width="18.7265625" style="1" customWidth="1"/>
    <col min="1561" max="1569" width="17.7265625" style="1" customWidth="1"/>
    <col min="1570" max="1576" width="18.7265625" style="1" customWidth="1"/>
    <col min="1577" max="1585" width="17.7265625" style="1" customWidth="1"/>
    <col min="1586" max="1592" width="18.7265625" style="1" customWidth="1"/>
    <col min="1593" max="1601" width="17.7265625" style="1" customWidth="1"/>
    <col min="1602" max="1608" width="18.7265625" style="1" customWidth="1"/>
    <col min="1609" max="1617" width="17.54296875" style="1" customWidth="1"/>
    <col min="1618" max="1624" width="18.54296875" style="1" customWidth="1"/>
    <col min="1625" max="1633" width="17.54296875" style="1" bestFit="1" customWidth="1"/>
    <col min="1634" max="1640" width="18.54296875" style="1" bestFit="1" customWidth="1"/>
    <col min="1641" max="1792" width="11.453125" style="1"/>
    <col min="1793" max="1793" width="45.54296875" style="1" customWidth="1"/>
    <col min="1794" max="1794" width="8.81640625" style="1" bestFit="1" customWidth="1"/>
    <col min="1795" max="1795" width="13.7265625" style="1" bestFit="1" customWidth="1"/>
    <col min="1796" max="1796" width="16.81640625" style="1" customWidth="1"/>
    <col min="1797" max="1797" width="8.81640625" style="1" bestFit="1" customWidth="1"/>
    <col min="1798" max="1798" width="13.7265625" style="1" bestFit="1" customWidth="1"/>
    <col min="1799" max="1799" width="17.26953125" style="1" customWidth="1"/>
    <col min="1800" max="1800" width="11.453125" style="1"/>
    <col min="1801" max="1809" width="17.7265625" style="1" customWidth="1"/>
    <col min="1810" max="1816" width="18.7265625" style="1" customWidth="1"/>
    <col min="1817" max="1825" width="17.7265625" style="1" customWidth="1"/>
    <col min="1826" max="1832" width="18.7265625" style="1" customWidth="1"/>
    <col min="1833" max="1841" width="17.7265625" style="1" customWidth="1"/>
    <col min="1842" max="1848" width="18.7265625" style="1" customWidth="1"/>
    <col min="1849" max="1857" width="17.7265625" style="1" customWidth="1"/>
    <col min="1858" max="1864" width="18.7265625" style="1" customWidth="1"/>
    <col min="1865" max="1873" width="17.54296875" style="1" customWidth="1"/>
    <col min="1874" max="1880" width="18.54296875" style="1" customWidth="1"/>
    <col min="1881" max="1889" width="17.54296875" style="1" bestFit="1" customWidth="1"/>
    <col min="1890" max="1896" width="18.54296875" style="1" bestFit="1" customWidth="1"/>
    <col min="1897" max="2048" width="11.453125" style="1"/>
    <col min="2049" max="2049" width="45.54296875" style="1" customWidth="1"/>
    <col min="2050" max="2050" width="8.81640625" style="1" bestFit="1" customWidth="1"/>
    <col min="2051" max="2051" width="13.7265625" style="1" bestFit="1" customWidth="1"/>
    <col min="2052" max="2052" width="16.81640625" style="1" customWidth="1"/>
    <col min="2053" max="2053" width="8.81640625" style="1" bestFit="1" customWidth="1"/>
    <col min="2054" max="2054" width="13.7265625" style="1" bestFit="1" customWidth="1"/>
    <col min="2055" max="2055" width="17.26953125" style="1" customWidth="1"/>
    <col min="2056" max="2056" width="11.453125" style="1"/>
    <col min="2057" max="2065" width="17.7265625" style="1" customWidth="1"/>
    <col min="2066" max="2072" width="18.7265625" style="1" customWidth="1"/>
    <col min="2073" max="2081" width="17.7265625" style="1" customWidth="1"/>
    <col min="2082" max="2088" width="18.7265625" style="1" customWidth="1"/>
    <col min="2089" max="2097" width="17.7265625" style="1" customWidth="1"/>
    <col min="2098" max="2104" width="18.7265625" style="1" customWidth="1"/>
    <col min="2105" max="2113" width="17.7265625" style="1" customWidth="1"/>
    <col min="2114" max="2120" width="18.7265625" style="1" customWidth="1"/>
    <col min="2121" max="2129" width="17.54296875" style="1" customWidth="1"/>
    <col min="2130" max="2136" width="18.54296875" style="1" customWidth="1"/>
    <col min="2137" max="2145" width="17.54296875" style="1" bestFit="1" customWidth="1"/>
    <col min="2146" max="2152" width="18.54296875" style="1" bestFit="1" customWidth="1"/>
    <col min="2153" max="2304" width="11.453125" style="1"/>
    <col min="2305" max="2305" width="45.54296875" style="1" customWidth="1"/>
    <col min="2306" max="2306" width="8.81640625" style="1" bestFit="1" customWidth="1"/>
    <col min="2307" max="2307" width="13.7265625" style="1" bestFit="1" customWidth="1"/>
    <col min="2308" max="2308" width="16.81640625" style="1" customWidth="1"/>
    <col min="2309" max="2309" width="8.81640625" style="1" bestFit="1" customWidth="1"/>
    <col min="2310" max="2310" width="13.7265625" style="1" bestFit="1" customWidth="1"/>
    <col min="2311" max="2311" width="17.26953125" style="1" customWidth="1"/>
    <col min="2312" max="2312" width="11.453125" style="1"/>
    <col min="2313" max="2321" width="17.7265625" style="1" customWidth="1"/>
    <col min="2322" max="2328" width="18.7265625" style="1" customWidth="1"/>
    <col min="2329" max="2337" width="17.7265625" style="1" customWidth="1"/>
    <col min="2338" max="2344" width="18.7265625" style="1" customWidth="1"/>
    <col min="2345" max="2353" width="17.7265625" style="1" customWidth="1"/>
    <col min="2354" max="2360" width="18.7265625" style="1" customWidth="1"/>
    <col min="2361" max="2369" width="17.7265625" style="1" customWidth="1"/>
    <col min="2370" max="2376" width="18.7265625" style="1" customWidth="1"/>
    <col min="2377" max="2385" width="17.54296875" style="1" customWidth="1"/>
    <col min="2386" max="2392" width="18.54296875" style="1" customWidth="1"/>
    <col min="2393" max="2401" width="17.54296875" style="1" bestFit="1" customWidth="1"/>
    <col min="2402" max="2408" width="18.54296875" style="1" bestFit="1" customWidth="1"/>
    <col min="2409" max="2560" width="11.453125" style="1"/>
    <col min="2561" max="2561" width="45.54296875" style="1" customWidth="1"/>
    <col min="2562" max="2562" width="8.81640625" style="1" bestFit="1" customWidth="1"/>
    <col min="2563" max="2563" width="13.7265625" style="1" bestFit="1" customWidth="1"/>
    <col min="2564" max="2564" width="16.81640625" style="1" customWidth="1"/>
    <col min="2565" max="2565" width="8.81640625" style="1" bestFit="1" customWidth="1"/>
    <col min="2566" max="2566" width="13.7265625" style="1" bestFit="1" customWidth="1"/>
    <col min="2567" max="2567" width="17.26953125" style="1" customWidth="1"/>
    <col min="2568" max="2568" width="11.453125" style="1"/>
    <col min="2569" max="2577" width="17.7265625" style="1" customWidth="1"/>
    <col min="2578" max="2584" width="18.7265625" style="1" customWidth="1"/>
    <col min="2585" max="2593" width="17.7265625" style="1" customWidth="1"/>
    <col min="2594" max="2600" width="18.7265625" style="1" customWidth="1"/>
    <col min="2601" max="2609" width="17.7265625" style="1" customWidth="1"/>
    <col min="2610" max="2616" width="18.7265625" style="1" customWidth="1"/>
    <col min="2617" max="2625" width="17.7265625" style="1" customWidth="1"/>
    <col min="2626" max="2632" width="18.7265625" style="1" customWidth="1"/>
    <col min="2633" max="2641" width="17.54296875" style="1" customWidth="1"/>
    <col min="2642" max="2648" width="18.54296875" style="1" customWidth="1"/>
    <col min="2649" max="2657" width="17.54296875" style="1" bestFit="1" customWidth="1"/>
    <col min="2658" max="2664" width="18.54296875" style="1" bestFit="1" customWidth="1"/>
    <col min="2665" max="2816" width="11.453125" style="1"/>
    <col min="2817" max="2817" width="45.54296875" style="1" customWidth="1"/>
    <col min="2818" max="2818" width="8.81640625" style="1" bestFit="1" customWidth="1"/>
    <col min="2819" max="2819" width="13.7265625" style="1" bestFit="1" customWidth="1"/>
    <col min="2820" max="2820" width="16.81640625" style="1" customWidth="1"/>
    <col min="2821" max="2821" width="8.81640625" style="1" bestFit="1" customWidth="1"/>
    <col min="2822" max="2822" width="13.7265625" style="1" bestFit="1" customWidth="1"/>
    <col min="2823" max="2823" width="17.26953125" style="1" customWidth="1"/>
    <col min="2824" max="2824" width="11.453125" style="1"/>
    <col min="2825" max="2833" width="17.7265625" style="1" customWidth="1"/>
    <col min="2834" max="2840" width="18.7265625" style="1" customWidth="1"/>
    <col min="2841" max="2849" width="17.7265625" style="1" customWidth="1"/>
    <col min="2850" max="2856" width="18.7265625" style="1" customWidth="1"/>
    <col min="2857" max="2865" width="17.7265625" style="1" customWidth="1"/>
    <col min="2866" max="2872" width="18.7265625" style="1" customWidth="1"/>
    <col min="2873" max="2881" width="17.7265625" style="1" customWidth="1"/>
    <col min="2882" max="2888" width="18.7265625" style="1" customWidth="1"/>
    <col min="2889" max="2897" width="17.54296875" style="1" customWidth="1"/>
    <col min="2898" max="2904" width="18.54296875" style="1" customWidth="1"/>
    <col min="2905" max="2913" width="17.54296875" style="1" bestFit="1" customWidth="1"/>
    <col min="2914" max="2920" width="18.54296875" style="1" bestFit="1" customWidth="1"/>
    <col min="2921" max="3072" width="11.453125" style="1"/>
    <col min="3073" max="3073" width="45.54296875" style="1" customWidth="1"/>
    <col min="3074" max="3074" width="8.81640625" style="1" bestFit="1" customWidth="1"/>
    <col min="3075" max="3075" width="13.7265625" style="1" bestFit="1" customWidth="1"/>
    <col min="3076" max="3076" width="16.81640625" style="1" customWidth="1"/>
    <col min="3077" max="3077" width="8.81640625" style="1" bestFit="1" customWidth="1"/>
    <col min="3078" max="3078" width="13.7265625" style="1" bestFit="1" customWidth="1"/>
    <col min="3079" max="3079" width="17.26953125" style="1" customWidth="1"/>
    <col min="3080" max="3080" width="11.453125" style="1"/>
    <col min="3081" max="3089" width="17.7265625" style="1" customWidth="1"/>
    <col min="3090" max="3096" width="18.7265625" style="1" customWidth="1"/>
    <col min="3097" max="3105" width="17.7265625" style="1" customWidth="1"/>
    <col min="3106" max="3112" width="18.7265625" style="1" customWidth="1"/>
    <col min="3113" max="3121" width="17.7265625" style="1" customWidth="1"/>
    <col min="3122" max="3128" width="18.7265625" style="1" customWidth="1"/>
    <col min="3129" max="3137" width="17.7265625" style="1" customWidth="1"/>
    <col min="3138" max="3144" width="18.7265625" style="1" customWidth="1"/>
    <col min="3145" max="3153" width="17.54296875" style="1" customWidth="1"/>
    <col min="3154" max="3160" width="18.54296875" style="1" customWidth="1"/>
    <col min="3161" max="3169" width="17.54296875" style="1" bestFit="1" customWidth="1"/>
    <col min="3170" max="3176" width="18.54296875" style="1" bestFit="1" customWidth="1"/>
    <col min="3177" max="3328" width="11.453125" style="1"/>
    <col min="3329" max="3329" width="45.54296875" style="1" customWidth="1"/>
    <col min="3330" max="3330" width="8.81640625" style="1" bestFit="1" customWidth="1"/>
    <col min="3331" max="3331" width="13.7265625" style="1" bestFit="1" customWidth="1"/>
    <col min="3332" max="3332" width="16.81640625" style="1" customWidth="1"/>
    <col min="3333" max="3333" width="8.81640625" style="1" bestFit="1" customWidth="1"/>
    <col min="3334" max="3334" width="13.7265625" style="1" bestFit="1" customWidth="1"/>
    <col min="3335" max="3335" width="17.26953125" style="1" customWidth="1"/>
    <col min="3336" max="3336" width="11.453125" style="1"/>
    <col min="3337" max="3345" width="17.7265625" style="1" customWidth="1"/>
    <col min="3346" max="3352" width="18.7265625" style="1" customWidth="1"/>
    <col min="3353" max="3361" width="17.7265625" style="1" customWidth="1"/>
    <col min="3362" max="3368" width="18.7265625" style="1" customWidth="1"/>
    <col min="3369" max="3377" width="17.7265625" style="1" customWidth="1"/>
    <col min="3378" max="3384" width="18.7265625" style="1" customWidth="1"/>
    <col min="3385" max="3393" width="17.7265625" style="1" customWidth="1"/>
    <col min="3394" max="3400" width="18.7265625" style="1" customWidth="1"/>
    <col min="3401" max="3409" width="17.54296875" style="1" customWidth="1"/>
    <col min="3410" max="3416" width="18.54296875" style="1" customWidth="1"/>
    <col min="3417" max="3425" width="17.54296875" style="1" bestFit="1" customWidth="1"/>
    <col min="3426" max="3432" width="18.54296875" style="1" bestFit="1" customWidth="1"/>
    <col min="3433" max="3584" width="11.453125" style="1"/>
    <col min="3585" max="3585" width="45.54296875" style="1" customWidth="1"/>
    <col min="3586" max="3586" width="8.81640625" style="1" bestFit="1" customWidth="1"/>
    <col min="3587" max="3587" width="13.7265625" style="1" bestFit="1" customWidth="1"/>
    <col min="3588" max="3588" width="16.81640625" style="1" customWidth="1"/>
    <col min="3589" max="3589" width="8.81640625" style="1" bestFit="1" customWidth="1"/>
    <col min="3590" max="3590" width="13.7265625" style="1" bestFit="1" customWidth="1"/>
    <col min="3591" max="3591" width="17.26953125" style="1" customWidth="1"/>
    <col min="3592" max="3592" width="11.453125" style="1"/>
    <col min="3593" max="3601" width="17.7265625" style="1" customWidth="1"/>
    <col min="3602" max="3608" width="18.7265625" style="1" customWidth="1"/>
    <col min="3609" max="3617" width="17.7265625" style="1" customWidth="1"/>
    <col min="3618" max="3624" width="18.7265625" style="1" customWidth="1"/>
    <col min="3625" max="3633" width="17.7265625" style="1" customWidth="1"/>
    <col min="3634" max="3640" width="18.7265625" style="1" customWidth="1"/>
    <col min="3641" max="3649" width="17.7265625" style="1" customWidth="1"/>
    <col min="3650" max="3656" width="18.7265625" style="1" customWidth="1"/>
    <col min="3657" max="3665" width="17.54296875" style="1" customWidth="1"/>
    <col min="3666" max="3672" width="18.54296875" style="1" customWidth="1"/>
    <col min="3673" max="3681" width="17.54296875" style="1" bestFit="1" customWidth="1"/>
    <col min="3682" max="3688" width="18.54296875" style="1" bestFit="1" customWidth="1"/>
    <col min="3689" max="3840" width="11.453125" style="1"/>
    <col min="3841" max="3841" width="45.54296875" style="1" customWidth="1"/>
    <col min="3842" max="3842" width="8.81640625" style="1" bestFit="1" customWidth="1"/>
    <col min="3843" max="3843" width="13.7265625" style="1" bestFit="1" customWidth="1"/>
    <col min="3844" max="3844" width="16.81640625" style="1" customWidth="1"/>
    <col min="3845" max="3845" width="8.81640625" style="1" bestFit="1" customWidth="1"/>
    <col min="3846" max="3846" width="13.7265625" style="1" bestFit="1" customWidth="1"/>
    <col min="3847" max="3847" width="17.26953125" style="1" customWidth="1"/>
    <col min="3848" max="3848" width="11.453125" style="1"/>
    <col min="3849" max="3857" width="17.7265625" style="1" customWidth="1"/>
    <col min="3858" max="3864" width="18.7265625" style="1" customWidth="1"/>
    <col min="3865" max="3873" width="17.7265625" style="1" customWidth="1"/>
    <col min="3874" max="3880" width="18.7265625" style="1" customWidth="1"/>
    <col min="3881" max="3889" width="17.7265625" style="1" customWidth="1"/>
    <col min="3890" max="3896" width="18.7265625" style="1" customWidth="1"/>
    <col min="3897" max="3905" width="17.7265625" style="1" customWidth="1"/>
    <col min="3906" max="3912" width="18.7265625" style="1" customWidth="1"/>
    <col min="3913" max="3921" width="17.54296875" style="1" customWidth="1"/>
    <col min="3922" max="3928" width="18.54296875" style="1" customWidth="1"/>
    <col min="3929" max="3937" width="17.54296875" style="1" bestFit="1" customWidth="1"/>
    <col min="3938" max="3944" width="18.54296875" style="1" bestFit="1" customWidth="1"/>
    <col min="3945" max="4096" width="11.453125" style="1"/>
    <col min="4097" max="4097" width="45.54296875" style="1" customWidth="1"/>
    <col min="4098" max="4098" width="8.81640625" style="1" bestFit="1" customWidth="1"/>
    <col min="4099" max="4099" width="13.7265625" style="1" bestFit="1" customWidth="1"/>
    <col min="4100" max="4100" width="16.81640625" style="1" customWidth="1"/>
    <col min="4101" max="4101" width="8.81640625" style="1" bestFit="1" customWidth="1"/>
    <col min="4102" max="4102" width="13.7265625" style="1" bestFit="1" customWidth="1"/>
    <col min="4103" max="4103" width="17.26953125" style="1" customWidth="1"/>
    <col min="4104" max="4104" width="11.453125" style="1"/>
    <col min="4105" max="4113" width="17.7265625" style="1" customWidth="1"/>
    <col min="4114" max="4120" width="18.7265625" style="1" customWidth="1"/>
    <col min="4121" max="4129" width="17.7265625" style="1" customWidth="1"/>
    <col min="4130" max="4136" width="18.7265625" style="1" customWidth="1"/>
    <col min="4137" max="4145" width="17.7265625" style="1" customWidth="1"/>
    <col min="4146" max="4152" width="18.7265625" style="1" customWidth="1"/>
    <col min="4153" max="4161" width="17.7265625" style="1" customWidth="1"/>
    <col min="4162" max="4168" width="18.7265625" style="1" customWidth="1"/>
    <col min="4169" max="4177" width="17.54296875" style="1" customWidth="1"/>
    <col min="4178" max="4184" width="18.54296875" style="1" customWidth="1"/>
    <col min="4185" max="4193" width="17.54296875" style="1" bestFit="1" customWidth="1"/>
    <col min="4194" max="4200" width="18.54296875" style="1" bestFit="1" customWidth="1"/>
    <col min="4201" max="4352" width="11.453125" style="1"/>
    <col min="4353" max="4353" width="45.54296875" style="1" customWidth="1"/>
    <col min="4354" max="4354" width="8.81640625" style="1" bestFit="1" customWidth="1"/>
    <col min="4355" max="4355" width="13.7265625" style="1" bestFit="1" customWidth="1"/>
    <col min="4356" max="4356" width="16.81640625" style="1" customWidth="1"/>
    <col min="4357" max="4357" width="8.81640625" style="1" bestFit="1" customWidth="1"/>
    <col min="4358" max="4358" width="13.7265625" style="1" bestFit="1" customWidth="1"/>
    <col min="4359" max="4359" width="17.26953125" style="1" customWidth="1"/>
    <col min="4360" max="4360" width="11.453125" style="1"/>
    <col min="4361" max="4369" width="17.7265625" style="1" customWidth="1"/>
    <col min="4370" max="4376" width="18.7265625" style="1" customWidth="1"/>
    <col min="4377" max="4385" width="17.7265625" style="1" customWidth="1"/>
    <col min="4386" max="4392" width="18.7265625" style="1" customWidth="1"/>
    <col min="4393" max="4401" width="17.7265625" style="1" customWidth="1"/>
    <col min="4402" max="4408" width="18.7265625" style="1" customWidth="1"/>
    <col min="4409" max="4417" width="17.7265625" style="1" customWidth="1"/>
    <col min="4418" max="4424" width="18.7265625" style="1" customWidth="1"/>
    <col min="4425" max="4433" width="17.54296875" style="1" customWidth="1"/>
    <col min="4434" max="4440" width="18.54296875" style="1" customWidth="1"/>
    <col min="4441" max="4449" width="17.54296875" style="1" bestFit="1" customWidth="1"/>
    <col min="4450" max="4456" width="18.54296875" style="1" bestFit="1" customWidth="1"/>
    <col min="4457" max="4608" width="11.453125" style="1"/>
    <col min="4609" max="4609" width="45.54296875" style="1" customWidth="1"/>
    <col min="4610" max="4610" width="8.81640625" style="1" bestFit="1" customWidth="1"/>
    <col min="4611" max="4611" width="13.7265625" style="1" bestFit="1" customWidth="1"/>
    <col min="4612" max="4612" width="16.81640625" style="1" customWidth="1"/>
    <col min="4613" max="4613" width="8.81640625" style="1" bestFit="1" customWidth="1"/>
    <col min="4614" max="4614" width="13.7265625" style="1" bestFit="1" customWidth="1"/>
    <col min="4615" max="4615" width="17.26953125" style="1" customWidth="1"/>
    <col min="4616" max="4616" width="11.453125" style="1"/>
    <col min="4617" max="4625" width="17.7265625" style="1" customWidth="1"/>
    <col min="4626" max="4632" width="18.7265625" style="1" customWidth="1"/>
    <col min="4633" max="4641" width="17.7265625" style="1" customWidth="1"/>
    <col min="4642" max="4648" width="18.7265625" style="1" customWidth="1"/>
    <col min="4649" max="4657" width="17.7265625" style="1" customWidth="1"/>
    <col min="4658" max="4664" width="18.7265625" style="1" customWidth="1"/>
    <col min="4665" max="4673" width="17.7265625" style="1" customWidth="1"/>
    <col min="4674" max="4680" width="18.7265625" style="1" customWidth="1"/>
    <col min="4681" max="4689" width="17.54296875" style="1" customWidth="1"/>
    <col min="4690" max="4696" width="18.54296875" style="1" customWidth="1"/>
    <col min="4697" max="4705" width="17.54296875" style="1" bestFit="1" customWidth="1"/>
    <col min="4706" max="4712" width="18.54296875" style="1" bestFit="1" customWidth="1"/>
    <col min="4713" max="4864" width="11.453125" style="1"/>
    <col min="4865" max="4865" width="45.54296875" style="1" customWidth="1"/>
    <col min="4866" max="4866" width="8.81640625" style="1" bestFit="1" customWidth="1"/>
    <col min="4867" max="4867" width="13.7265625" style="1" bestFit="1" customWidth="1"/>
    <col min="4868" max="4868" width="16.81640625" style="1" customWidth="1"/>
    <col min="4869" max="4869" width="8.81640625" style="1" bestFit="1" customWidth="1"/>
    <col min="4870" max="4870" width="13.7265625" style="1" bestFit="1" customWidth="1"/>
    <col min="4871" max="4871" width="17.26953125" style="1" customWidth="1"/>
    <col min="4872" max="4872" width="11.453125" style="1"/>
    <col min="4873" max="4881" width="17.7265625" style="1" customWidth="1"/>
    <col min="4882" max="4888" width="18.7265625" style="1" customWidth="1"/>
    <col min="4889" max="4897" width="17.7265625" style="1" customWidth="1"/>
    <col min="4898" max="4904" width="18.7265625" style="1" customWidth="1"/>
    <col min="4905" max="4913" width="17.7265625" style="1" customWidth="1"/>
    <col min="4914" max="4920" width="18.7265625" style="1" customWidth="1"/>
    <col min="4921" max="4929" width="17.7265625" style="1" customWidth="1"/>
    <col min="4930" max="4936" width="18.7265625" style="1" customWidth="1"/>
    <col min="4937" max="4945" width="17.54296875" style="1" customWidth="1"/>
    <col min="4946" max="4952" width="18.54296875" style="1" customWidth="1"/>
    <col min="4953" max="4961" width="17.54296875" style="1" bestFit="1" customWidth="1"/>
    <col min="4962" max="4968" width="18.54296875" style="1" bestFit="1" customWidth="1"/>
    <col min="4969" max="5120" width="11.453125" style="1"/>
    <col min="5121" max="5121" width="45.54296875" style="1" customWidth="1"/>
    <col min="5122" max="5122" width="8.81640625" style="1" bestFit="1" customWidth="1"/>
    <col min="5123" max="5123" width="13.7265625" style="1" bestFit="1" customWidth="1"/>
    <col min="5124" max="5124" width="16.81640625" style="1" customWidth="1"/>
    <col min="5125" max="5125" width="8.81640625" style="1" bestFit="1" customWidth="1"/>
    <col min="5126" max="5126" width="13.7265625" style="1" bestFit="1" customWidth="1"/>
    <col min="5127" max="5127" width="17.26953125" style="1" customWidth="1"/>
    <col min="5128" max="5128" width="11.453125" style="1"/>
    <col min="5129" max="5137" width="17.7265625" style="1" customWidth="1"/>
    <col min="5138" max="5144" width="18.7265625" style="1" customWidth="1"/>
    <col min="5145" max="5153" width="17.7265625" style="1" customWidth="1"/>
    <col min="5154" max="5160" width="18.7265625" style="1" customWidth="1"/>
    <col min="5161" max="5169" width="17.7265625" style="1" customWidth="1"/>
    <col min="5170" max="5176" width="18.7265625" style="1" customWidth="1"/>
    <col min="5177" max="5185" width="17.7265625" style="1" customWidth="1"/>
    <col min="5186" max="5192" width="18.7265625" style="1" customWidth="1"/>
    <col min="5193" max="5201" width="17.54296875" style="1" customWidth="1"/>
    <col min="5202" max="5208" width="18.54296875" style="1" customWidth="1"/>
    <col min="5209" max="5217" width="17.54296875" style="1" bestFit="1" customWidth="1"/>
    <col min="5218" max="5224" width="18.54296875" style="1" bestFit="1" customWidth="1"/>
    <col min="5225" max="5376" width="11.453125" style="1"/>
    <col min="5377" max="5377" width="45.54296875" style="1" customWidth="1"/>
    <col min="5378" max="5378" width="8.81640625" style="1" bestFit="1" customWidth="1"/>
    <col min="5379" max="5379" width="13.7265625" style="1" bestFit="1" customWidth="1"/>
    <col min="5380" max="5380" width="16.81640625" style="1" customWidth="1"/>
    <col min="5381" max="5381" width="8.81640625" style="1" bestFit="1" customWidth="1"/>
    <col min="5382" max="5382" width="13.7265625" style="1" bestFit="1" customWidth="1"/>
    <col min="5383" max="5383" width="17.26953125" style="1" customWidth="1"/>
    <col min="5384" max="5384" width="11.453125" style="1"/>
    <col min="5385" max="5393" width="17.7265625" style="1" customWidth="1"/>
    <col min="5394" max="5400" width="18.7265625" style="1" customWidth="1"/>
    <col min="5401" max="5409" width="17.7265625" style="1" customWidth="1"/>
    <col min="5410" max="5416" width="18.7265625" style="1" customWidth="1"/>
    <col min="5417" max="5425" width="17.7265625" style="1" customWidth="1"/>
    <col min="5426" max="5432" width="18.7265625" style="1" customWidth="1"/>
    <col min="5433" max="5441" width="17.7265625" style="1" customWidth="1"/>
    <col min="5442" max="5448" width="18.7265625" style="1" customWidth="1"/>
    <col min="5449" max="5457" width="17.54296875" style="1" customWidth="1"/>
    <col min="5458" max="5464" width="18.54296875" style="1" customWidth="1"/>
    <col min="5465" max="5473" width="17.54296875" style="1" bestFit="1" customWidth="1"/>
    <col min="5474" max="5480" width="18.54296875" style="1" bestFit="1" customWidth="1"/>
    <col min="5481" max="5632" width="11.453125" style="1"/>
    <col min="5633" max="5633" width="45.54296875" style="1" customWidth="1"/>
    <col min="5634" max="5634" width="8.81640625" style="1" bestFit="1" customWidth="1"/>
    <col min="5635" max="5635" width="13.7265625" style="1" bestFit="1" customWidth="1"/>
    <col min="5636" max="5636" width="16.81640625" style="1" customWidth="1"/>
    <col min="5637" max="5637" width="8.81640625" style="1" bestFit="1" customWidth="1"/>
    <col min="5638" max="5638" width="13.7265625" style="1" bestFit="1" customWidth="1"/>
    <col min="5639" max="5639" width="17.26953125" style="1" customWidth="1"/>
    <col min="5640" max="5640" width="11.453125" style="1"/>
    <col min="5641" max="5649" width="17.7265625" style="1" customWidth="1"/>
    <col min="5650" max="5656" width="18.7265625" style="1" customWidth="1"/>
    <col min="5657" max="5665" width="17.7265625" style="1" customWidth="1"/>
    <col min="5666" max="5672" width="18.7265625" style="1" customWidth="1"/>
    <col min="5673" max="5681" width="17.7265625" style="1" customWidth="1"/>
    <col min="5682" max="5688" width="18.7265625" style="1" customWidth="1"/>
    <col min="5689" max="5697" width="17.7265625" style="1" customWidth="1"/>
    <col min="5698" max="5704" width="18.7265625" style="1" customWidth="1"/>
    <col min="5705" max="5713" width="17.54296875" style="1" customWidth="1"/>
    <col min="5714" max="5720" width="18.54296875" style="1" customWidth="1"/>
    <col min="5721" max="5729" width="17.54296875" style="1" bestFit="1" customWidth="1"/>
    <col min="5730" max="5736" width="18.54296875" style="1" bestFit="1" customWidth="1"/>
    <col min="5737" max="5888" width="11.453125" style="1"/>
    <col min="5889" max="5889" width="45.54296875" style="1" customWidth="1"/>
    <col min="5890" max="5890" width="8.81640625" style="1" bestFit="1" customWidth="1"/>
    <col min="5891" max="5891" width="13.7265625" style="1" bestFit="1" customWidth="1"/>
    <col min="5892" max="5892" width="16.81640625" style="1" customWidth="1"/>
    <col min="5893" max="5893" width="8.81640625" style="1" bestFit="1" customWidth="1"/>
    <col min="5894" max="5894" width="13.7265625" style="1" bestFit="1" customWidth="1"/>
    <col min="5895" max="5895" width="17.26953125" style="1" customWidth="1"/>
    <col min="5896" max="5896" width="11.453125" style="1"/>
    <col min="5897" max="5905" width="17.7265625" style="1" customWidth="1"/>
    <col min="5906" max="5912" width="18.7265625" style="1" customWidth="1"/>
    <col min="5913" max="5921" width="17.7265625" style="1" customWidth="1"/>
    <col min="5922" max="5928" width="18.7265625" style="1" customWidth="1"/>
    <col min="5929" max="5937" width="17.7265625" style="1" customWidth="1"/>
    <col min="5938" max="5944" width="18.7265625" style="1" customWidth="1"/>
    <col min="5945" max="5953" width="17.7265625" style="1" customWidth="1"/>
    <col min="5954" max="5960" width="18.7265625" style="1" customWidth="1"/>
    <col min="5961" max="5969" width="17.54296875" style="1" customWidth="1"/>
    <col min="5970" max="5976" width="18.54296875" style="1" customWidth="1"/>
    <col min="5977" max="5985" width="17.54296875" style="1" bestFit="1" customWidth="1"/>
    <col min="5986" max="5992" width="18.54296875" style="1" bestFit="1" customWidth="1"/>
    <col min="5993" max="6144" width="11.453125" style="1"/>
    <col min="6145" max="6145" width="45.54296875" style="1" customWidth="1"/>
    <col min="6146" max="6146" width="8.81640625" style="1" bestFit="1" customWidth="1"/>
    <col min="6147" max="6147" width="13.7265625" style="1" bestFit="1" customWidth="1"/>
    <col min="6148" max="6148" width="16.81640625" style="1" customWidth="1"/>
    <col min="6149" max="6149" width="8.81640625" style="1" bestFit="1" customWidth="1"/>
    <col min="6150" max="6150" width="13.7265625" style="1" bestFit="1" customWidth="1"/>
    <col min="6151" max="6151" width="17.26953125" style="1" customWidth="1"/>
    <col min="6152" max="6152" width="11.453125" style="1"/>
    <col min="6153" max="6161" width="17.7265625" style="1" customWidth="1"/>
    <col min="6162" max="6168" width="18.7265625" style="1" customWidth="1"/>
    <col min="6169" max="6177" width="17.7265625" style="1" customWidth="1"/>
    <col min="6178" max="6184" width="18.7265625" style="1" customWidth="1"/>
    <col min="6185" max="6193" width="17.7265625" style="1" customWidth="1"/>
    <col min="6194" max="6200" width="18.7265625" style="1" customWidth="1"/>
    <col min="6201" max="6209" width="17.7265625" style="1" customWidth="1"/>
    <col min="6210" max="6216" width="18.7265625" style="1" customWidth="1"/>
    <col min="6217" max="6225" width="17.54296875" style="1" customWidth="1"/>
    <col min="6226" max="6232" width="18.54296875" style="1" customWidth="1"/>
    <col min="6233" max="6241" width="17.54296875" style="1" bestFit="1" customWidth="1"/>
    <col min="6242" max="6248" width="18.54296875" style="1" bestFit="1" customWidth="1"/>
    <col min="6249" max="6400" width="11.453125" style="1"/>
    <col min="6401" max="6401" width="45.54296875" style="1" customWidth="1"/>
    <col min="6402" max="6402" width="8.81640625" style="1" bestFit="1" customWidth="1"/>
    <col min="6403" max="6403" width="13.7265625" style="1" bestFit="1" customWidth="1"/>
    <col min="6404" max="6404" width="16.81640625" style="1" customWidth="1"/>
    <col min="6405" max="6405" width="8.81640625" style="1" bestFit="1" customWidth="1"/>
    <col min="6406" max="6406" width="13.7265625" style="1" bestFit="1" customWidth="1"/>
    <col min="6407" max="6407" width="17.26953125" style="1" customWidth="1"/>
    <col min="6408" max="6408" width="11.453125" style="1"/>
    <col min="6409" max="6417" width="17.7265625" style="1" customWidth="1"/>
    <col min="6418" max="6424" width="18.7265625" style="1" customWidth="1"/>
    <col min="6425" max="6433" width="17.7265625" style="1" customWidth="1"/>
    <col min="6434" max="6440" width="18.7265625" style="1" customWidth="1"/>
    <col min="6441" max="6449" width="17.7265625" style="1" customWidth="1"/>
    <col min="6450" max="6456" width="18.7265625" style="1" customWidth="1"/>
    <col min="6457" max="6465" width="17.7265625" style="1" customWidth="1"/>
    <col min="6466" max="6472" width="18.7265625" style="1" customWidth="1"/>
    <col min="6473" max="6481" width="17.54296875" style="1" customWidth="1"/>
    <col min="6482" max="6488" width="18.54296875" style="1" customWidth="1"/>
    <col min="6489" max="6497" width="17.54296875" style="1" bestFit="1" customWidth="1"/>
    <col min="6498" max="6504" width="18.54296875" style="1" bestFit="1" customWidth="1"/>
    <col min="6505" max="6656" width="11.453125" style="1"/>
    <col min="6657" max="6657" width="45.54296875" style="1" customWidth="1"/>
    <col min="6658" max="6658" width="8.81640625" style="1" bestFit="1" customWidth="1"/>
    <col min="6659" max="6659" width="13.7265625" style="1" bestFit="1" customWidth="1"/>
    <col min="6660" max="6660" width="16.81640625" style="1" customWidth="1"/>
    <col min="6661" max="6661" width="8.81640625" style="1" bestFit="1" customWidth="1"/>
    <col min="6662" max="6662" width="13.7265625" style="1" bestFit="1" customWidth="1"/>
    <col min="6663" max="6663" width="17.26953125" style="1" customWidth="1"/>
    <col min="6664" max="6664" width="11.453125" style="1"/>
    <col min="6665" max="6673" width="17.7265625" style="1" customWidth="1"/>
    <col min="6674" max="6680" width="18.7265625" style="1" customWidth="1"/>
    <col min="6681" max="6689" width="17.7265625" style="1" customWidth="1"/>
    <col min="6690" max="6696" width="18.7265625" style="1" customWidth="1"/>
    <col min="6697" max="6705" width="17.7265625" style="1" customWidth="1"/>
    <col min="6706" max="6712" width="18.7265625" style="1" customWidth="1"/>
    <col min="6713" max="6721" width="17.7265625" style="1" customWidth="1"/>
    <col min="6722" max="6728" width="18.7265625" style="1" customWidth="1"/>
    <col min="6729" max="6737" width="17.54296875" style="1" customWidth="1"/>
    <col min="6738" max="6744" width="18.54296875" style="1" customWidth="1"/>
    <col min="6745" max="6753" width="17.54296875" style="1" bestFit="1" customWidth="1"/>
    <col min="6754" max="6760" width="18.54296875" style="1" bestFit="1" customWidth="1"/>
    <col min="6761" max="6912" width="11.453125" style="1"/>
    <col min="6913" max="6913" width="45.54296875" style="1" customWidth="1"/>
    <col min="6914" max="6914" width="8.81640625" style="1" bestFit="1" customWidth="1"/>
    <col min="6915" max="6915" width="13.7265625" style="1" bestFit="1" customWidth="1"/>
    <col min="6916" max="6916" width="16.81640625" style="1" customWidth="1"/>
    <col min="6917" max="6917" width="8.81640625" style="1" bestFit="1" customWidth="1"/>
    <col min="6918" max="6918" width="13.7265625" style="1" bestFit="1" customWidth="1"/>
    <col min="6919" max="6919" width="17.26953125" style="1" customWidth="1"/>
    <col min="6920" max="6920" width="11.453125" style="1"/>
    <col min="6921" max="6929" width="17.7265625" style="1" customWidth="1"/>
    <col min="6930" max="6936" width="18.7265625" style="1" customWidth="1"/>
    <col min="6937" max="6945" width="17.7265625" style="1" customWidth="1"/>
    <col min="6946" max="6952" width="18.7265625" style="1" customWidth="1"/>
    <col min="6953" max="6961" width="17.7265625" style="1" customWidth="1"/>
    <col min="6962" max="6968" width="18.7265625" style="1" customWidth="1"/>
    <col min="6969" max="6977" width="17.7265625" style="1" customWidth="1"/>
    <col min="6978" max="6984" width="18.7265625" style="1" customWidth="1"/>
    <col min="6985" max="6993" width="17.54296875" style="1" customWidth="1"/>
    <col min="6994" max="7000" width="18.54296875" style="1" customWidth="1"/>
    <col min="7001" max="7009" width="17.54296875" style="1" bestFit="1" customWidth="1"/>
    <col min="7010" max="7016" width="18.54296875" style="1" bestFit="1" customWidth="1"/>
    <col min="7017" max="7168" width="11.453125" style="1"/>
    <col min="7169" max="7169" width="45.54296875" style="1" customWidth="1"/>
    <col min="7170" max="7170" width="8.81640625" style="1" bestFit="1" customWidth="1"/>
    <col min="7171" max="7171" width="13.7265625" style="1" bestFit="1" customWidth="1"/>
    <col min="7172" max="7172" width="16.81640625" style="1" customWidth="1"/>
    <col min="7173" max="7173" width="8.81640625" style="1" bestFit="1" customWidth="1"/>
    <col min="7174" max="7174" width="13.7265625" style="1" bestFit="1" customWidth="1"/>
    <col min="7175" max="7175" width="17.26953125" style="1" customWidth="1"/>
    <col min="7176" max="7176" width="11.453125" style="1"/>
    <col min="7177" max="7185" width="17.7265625" style="1" customWidth="1"/>
    <col min="7186" max="7192" width="18.7265625" style="1" customWidth="1"/>
    <col min="7193" max="7201" width="17.7265625" style="1" customWidth="1"/>
    <col min="7202" max="7208" width="18.7265625" style="1" customWidth="1"/>
    <col min="7209" max="7217" width="17.7265625" style="1" customWidth="1"/>
    <col min="7218" max="7224" width="18.7265625" style="1" customWidth="1"/>
    <col min="7225" max="7233" width="17.7265625" style="1" customWidth="1"/>
    <col min="7234" max="7240" width="18.7265625" style="1" customWidth="1"/>
    <col min="7241" max="7249" width="17.54296875" style="1" customWidth="1"/>
    <col min="7250" max="7256" width="18.54296875" style="1" customWidth="1"/>
    <col min="7257" max="7265" width="17.54296875" style="1" bestFit="1" customWidth="1"/>
    <col min="7266" max="7272" width="18.54296875" style="1" bestFit="1" customWidth="1"/>
    <col min="7273" max="7424" width="11.453125" style="1"/>
    <col min="7425" max="7425" width="45.54296875" style="1" customWidth="1"/>
    <col min="7426" max="7426" width="8.81640625" style="1" bestFit="1" customWidth="1"/>
    <col min="7427" max="7427" width="13.7265625" style="1" bestFit="1" customWidth="1"/>
    <col min="7428" max="7428" width="16.81640625" style="1" customWidth="1"/>
    <col min="7429" max="7429" width="8.81640625" style="1" bestFit="1" customWidth="1"/>
    <col min="7430" max="7430" width="13.7265625" style="1" bestFit="1" customWidth="1"/>
    <col min="7431" max="7431" width="17.26953125" style="1" customWidth="1"/>
    <col min="7432" max="7432" width="11.453125" style="1"/>
    <col min="7433" max="7441" width="17.7265625" style="1" customWidth="1"/>
    <col min="7442" max="7448" width="18.7265625" style="1" customWidth="1"/>
    <col min="7449" max="7457" width="17.7265625" style="1" customWidth="1"/>
    <col min="7458" max="7464" width="18.7265625" style="1" customWidth="1"/>
    <col min="7465" max="7473" width="17.7265625" style="1" customWidth="1"/>
    <col min="7474" max="7480" width="18.7265625" style="1" customWidth="1"/>
    <col min="7481" max="7489" width="17.7265625" style="1" customWidth="1"/>
    <col min="7490" max="7496" width="18.7265625" style="1" customWidth="1"/>
    <col min="7497" max="7505" width="17.54296875" style="1" customWidth="1"/>
    <col min="7506" max="7512" width="18.54296875" style="1" customWidth="1"/>
    <col min="7513" max="7521" width="17.54296875" style="1" bestFit="1" customWidth="1"/>
    <col min="7522" max="7528" width="18.54296875" style="1" bestFit="1" customWidth="1"/>
    <col min="7529" max="7680" width="11.453125" style="1"/>
    <col min="7681" max="7681" width="45.54296875" style="1" customWidth="1"/>
    <col min="7682" max="7682" width="8.81640625" style="1" bestFit="1" customWidth="1"/>
    <col min="7683" max="7683" width="13.7265625" style="1" bestFit="1" customWidth="1"/>
    <col min="7684" max="7684" width="16.81640625" style="1" customWidth="1"/>
    <col min="7685" max="7685" width="8.81640625" style="1" bestFit="1" customWidth="1"/>
    <col min="7686" max="7686" width="13.7265625" style="1" bestFit="1" customWidth="1"/>
    <col min="7687" max="7687" width="17.26953125" style="1" customWidth="1"/>
    <col min="7688" max="7688" width="11.453125" style="1"/>
    <col min="7689" max="7697" width="17.7265625" style="1" customWidth="1"/>
    <col min="7698" max="7704" width="18.7265625" style="1" customWidth="1"/>
    <col min="7705" max="7713" width="17.7265625" style="1" customWidth="1"/>
    <col min="7714" max="7720" width="18.7265625" style="1" customWidth="1"/>
    <col min="7721" max="7729" width="17.7265625" style="1" customWidth="1"/>
    <col min="7730" max="7736" width="18.7265625" style="1" customWidth="1"/>
    <col min="7737" max="7745" width="17.7265625" style="1" customWidth="1"/>
    <col min="7746" max="7752" width="18.7265625" style="1" customWidth="1"/>
    <col min="7753" max="7761" width="17.54296875" style="1" customWidth="1"/>
    <col min="7762" max="7768" width="18.54296875" style="1" customWidth="1"/>
    <col min="7769" max="7777" width="17.54296875" style="1" bestFit="1" customWidth="1"/>
    <col min="7778" max="7784" width="18.54296875" style="1" bestFit="1" customWidth="1"/>
    <col min="7785" max="7936" width="11.453125" style="1"/>
    <col min="7937" max="7937" width="45.54296875" style="1" customWidth="1"/>
    <col min="7938" max="7938" width="8.81640625" style="1" bestFit="1" customWidth="1"/>
    <col min="7939" max="7939" width="13.7265625" style="1" bestFit="1" customWidth="1"/>
    <col min="7940" max="7940" width="16.81640625" style="1" customWidth="1"/>
    <col min="7941" max="7941" width="8.81640625" style="1" bestFit="1" customWidth="1"/>
    <col min="7942" max="7942" width="13.7265625" style="1" bestFit="1" customWidth="1"/>
    <col min="7943" max="7943" width="17.26953125" style="1" customWidth="1"/>
    <col min="7944" max="7944" width="11.453125" style="1"/>
    <col min="7945" max="7953" width="17.7265625" style="1" customWidth="1"/>
    <col min="7954" max="7960" width="18.7265625" style="1" customWidth="1"/>
    <col min="7961" max="7969" width="17.7265625" style="1" customWidth="1"/>
    <col min="7970" max="7976" width="18.7265625" style="1" customWidth="1"/>
    <col min="7977" max="7985" width="17.7265625" style="1" customWidth="1"/>
    <col min="7986" max="7992" width="18.7265625" style="1" customWidth="1"/>
    <col min="7993" max="8001" width="17.7265625" style="1" customWidth="1"/>
    <col min="8002" max="8008" width="18.7265625" style="1" customWidth="1"/>
    <col min="8009" max="8017" width="17.54296875" style="1" customWidth="1"/>
    <col min="8018" max="8024" width="18.54296875" style="1" customWidth="1"/>
    <col min="8025" max="8033" width="17.54296875" style="1" bestFit="1" customWidth="1"/>
    <col min="8034" max="8040" width="18.54296875" style="1" bestFit="1" customWidth="1"/>
    <col min="8041" max="8192" width="11.453125" style="1"/>
    <col min="8193" max="8193" width="45.54296875" style="1" customWidth="1"/>
    <col min="8194" max="8194" width="8.81640625" style="1" bestFit="1" customWidth="1"/>
    <col min="8195" max="8195" width="13.7265625" style="1" bestFit="1" customWidth="1"/>
    <col min="8196" max="8196" width="16.81640625" style="1" customWidth="1"/>
    <col min="8197" max="8197" width="8.81640625" style="1" bestFit="1" customWidth="1"/>
    <col min="8198" max="8198" width="13.7265625" style="1" bestFit="1" customWidth="1"/>
    <col min="8199" max="8199" width="17.26953125" style="1" customWidth="1"/>
    <col min="8200" max="8200" width="11.453125" style="1"/>
    <col min="8201" max="8209" width="17.7265625" style="1" customWidth="1"/>
    <col min="8210" max="8216" width="18.7265625" style="1" customWidth="1"/>
    <col min="8217" max="8225" width="17.7265625" style="1" customWidth="1"/>
    <col min="8226" max="8232" width="18.7265625" style="1" customWidth="1"/>
    <col min="8233" max="8241" width="17.7265625" style="1" customWidth="1"/>
    <col min="8242" max="8248" width="18.7265625" style="1" customWidth="1"/>
    <col min="8249" max="8257" width="17.7265625" style="1" customWidth="1"/>
    <col min="8258" max="8264" width="18.7265625" style="1" customWidth="1"/>
    <col min="8265" max="8273" width="17.54296875" style="1" customWidth="1"/>
    <col min="8274" max="8280" width="18.54296875" style="1" customWidth="1"/>
    <col min="8281" max="8289" width="17.54296875" style="1" bestFit="1" customWidth="1"/>
    <col min="8290" max="8296" width="18.54296875" style="1" bestFit="1" customWidth="1"/>
    <col min="8297" max="8448" width="11.453125" style="1"/>
    <col min="8449" max="8449" width="45.54296875" style="1" customWidth="1"/>
    <col min="8450" max="8450" width="8.81640625" style="1" bestFit="1" customWidth="1"/>
    <col min="8451" max="8451" width="13.7265625" style="1" bestFit="1" customWidth="1"/>
    <col min="8452" max="8452" width="16.81640625" style="1" customWidth="1"/>
    <col min="8453" max="8453" width="8.81640625" style="1" bestFit="1" customWidth="1"/>
    <col min="8454" max="8454" width="13.7265625" style="1" bestFit="1" customWidth="1"/>
    <col min="8455" max="8455" width="17.26953125" style="1" customWidth="1"/>
    <col min="8456" max="8456" width="11.453125" style="1"/>
    <col min="8457" max="8465" width="17.7265625" style="1" customWidth="1"/>
    <col min="8466" max="8472" width="18.7265625" style="1" customWidth="1"/>
    <col min="8473" max="8481" width="17.7265625" style="1" customWidth="1"/>
    <col min="8482" max="8488" width="18.7265625" style="1" customWidth="1"/>
    <col min="8489" max="8497" width="17.7265625" style="1" customWidth="1"/>
    <col min="8498" max="8504" width="18.7265625" style="1" customWidth="1"/>
    <col min="8505" max="8513" width="17.7265625" style="1" customWidth="1"/>
    <col min="8514" max="8520" width="18.7265625" style="1" customWidth="1"/>
    <col min="8521" max="8529" width="17.54296875" style="1" customWidth="1"/>
    <col min="8530" max="8536" width="18.54296875" style="1" customWidth="1"/>
    <col min="8537" max="8545" width="17.54296875" style="1" bestFit="1" customWidth="1"/>
    <col min="8546" max="8552" width="18.54296875" style="1" bestFit="1" customWidth="1"/>
    <col min="8553" max="8704" width="11.453125" style="1"/>
    <col min="8705" max="8705" width="45.54296875" style="1" customWidth="1"/>
    <col min="8706" max="8706" width="8.81640625" style="1" bestFit="1" customWidth="1"/>
    <col min="8707" max="8707" width="13.7265625" style="1" bestFit="1" customWidth="1"/>
    <col min="8708" max="8708" width="16.81640625" style="1" customWidth="1"/>
    <col min="8709" max="8709" width="8.81640625" style="1" bestFit="1" customWidth="1"/>
    <col min="8710" max="8710" width="13.7265625" style="1" bestFit="1" customWidth="1"/>
    <col min="8711" max="8711" width="17.26953125" style="1" customWidth="1"/>
    <col min="8712" max="8712" width="11.453125" style="1"/>
    <col min="8713" max="8721" width="17.7265625" style="1" customWidth="1"/>
    <col min="8722" max="8728" width="18.7265625" style="1" customWidth="1"/>
    <col min="8729" max="8737" width="17.7265625" style="1" customWidth="1"/>
    <col min="8738" max="8744" width="18.7265625" style="1" customWidth="1"/>
    <col min="8745" max="8753" width="17.7265625" style="1" customWidth="1"/>
    <col min="8754" max="8760" width="18.7265625" style="1" customWidth="1"/>
    <col min="8761" max="8769" width="17.7265625" style="1" customWidth="1"/>
    <col min="8770" max="8776" width="18.7265625" style="1" customWidth="1"/>
    <col min="8777" max="8785" width="17.54296875" style="1" customWidth="1"/>
    <col min="8786" max="8792" width="18.54296875" style="1" customWidth="1"/>
    <col min="8793" max="8801" width="17.54296875" style="1" bestFit="1" customWidth="1"/>
    <col min="8802" max="8808" width="18.54296875" style="1" bestFit="1" customWidth="1"/>
    <col min="8809" max="8960" width="11.453125" style="1"/>
    <col min="8961" max="8961" width="45.54296875" style="1" customWidth="1"/>
    <col min="8962" max="8962" width="8.81640625" style="1" bestFit="1" customWidth="1"/>
    <col min="8963" max="8963" width="13.7265625" style="1" bestFit="1" customWidth="1"/>
    <col min="8964" max="8964" width="16.81640625" style="1" customWidth="1"/>
    <col min="8965" max="8965" width="8.81640625" style="1" bestFit="1" customWidth="1"/>
    <col min="8966" max="8966" width="13.7265625" style="1" bestFit="1" customWidth="1"/>
    <col min="8967" max="8967" width="17.26953125" style="1" customWidth="1"/>
    <col min="8968" max="8968" width="11.453125" style="1"/>
    <col min="8969" max="8977" width="17.7265625" style="1" customWidth="1"/>
    <col min="8978" max="8984" width="18.7265625" style="1" customWidth="1"/>
    <col min="8985" max="8993" width="17.7265625" style="1" customWidth="1"/>
    <col min="8994" max="9000" width="18.7265625" style="1" customWidth="1"/>
    <col min="9001" max="9009" width="17.7265625" style="1" customWidth="1"/>
    <col min="9010" max="9016" width="18.7265625" style="1" customWidth="1"/>
    <col min="9017" max="9025" width="17.7265625" style="1" customWidth="1"/>
    <col min="9026" max="9032" width="18.7265625" style="1" customWidth="1"/>
    <col min="9033" max="9041" width="17.54296875" style="1" customWidth="1"/>
    <col min="9042" max="9048" width="18.54296875" style="1" customWidth="1"/>
    <col min="9049" max="9057" width="17.54296875" style="1" bestFit="1" customWidth="1"/>
    <col min="9058" max="9064" width="18.54296875" style="1" bestFit="1" customWidth="1"/>
    <col min="9065" max="9216" width="11.453125" style="1"/>
    <col min="9217" max="9217" width="45.54296875" style="1" customWidth="1"/>
    <col min="9218" max="9218" width="8.81640625" style="1" bestFit="1" customWidth="1"/>
    <col min="9219" max="9219" width="13.7265625" style="1" bestFit="1" customWidth="1"/>
    <col min="9220" max="9220" width="16.81640625" style="1" customWidth="1"/>
    <col min="9221" max="9221" width="8.81640625" style="1" bestFit="1" customWidth="1"/>
    <col min="9222" max="9222" width="13.7265625" style="1" bestFit="1" customWidth="1"/>
    <col min="9223" max="9223" width="17.26953125" style="1" customWidth="1"/>
    <col min="9224" max="9224" width="11.453125" style="1"/>
    <col min="9225" max="9233" width="17.7265625" style="1" customWidth="1"/>
    <col min="9234" max="9240" width="18.7265625" style="1" customWidth="1"/>
    <col min="9241" max="9249" width="17.7265625" style="1" customWidth="1"/>
    <col min="9250" max="9256" width="18.7265625" style="1" customWidth="1"/>
    <col min="9257" max="9265" width="17.7265625" style="1" customWidth="1"/>
    <col min="9266" max="9272" width="18.7265625" style="1" customWidth="1"/>
    <col min="9273" max="9281" width="17.7265625" style="1" customWidth="1"/>
    <col min="9282" max="9288" width="18.7265625" style="1" customWidth="1"/>
    <col min="9289" max="9297" width="17.54296875" style="1" customWidth="1"/>
    <col min="9298" max="9304" width="18.54296875" style="1" customWidth="1"/>
    <col min="9305" max="9313" width="17.54296875" style="1" bestFit="1" customWidth="1"/>
    <col min="9314" max="9320" width="18.54296875" style="1" bestFit="1" customWidth="1"/>
    <col min="9321" max="9472" width="11.453125" style="1"/>
    <col min="9473" max="9473" width="45.54296875" style="1" customWidth="1"/>
    <col min="9474" max="9474" width="8.81640625" style="1" bestFit="1" customWidth="1"/>
    <col min="9475" max="9475" width="13.7265625" style="1" bestFit="1" customWidth="1"/>
    <col min="9476" max="9476" width="16.81640625" style="1" customWidth="1"/>
    <col min="9477" max="9477" width="8.81640625" style="1" bestFit="1" customWidth="1"/>
    <col min="9478" max="9478" width="13.7265625" style="1" bestFit="1" customWidth="1"/>
    <col min="9479" max="9479" width="17.26953125" style="1" customWidth="1"/>
    <col min="9480" max="9480" width="11.453125" style="1"/>
    <col min="9481" max="9489" width="17.7265625" style="1" customWidth="1"/>
    <col min="9490" max="9496" width="18.7265625" style="1" customWidth="1"/>
    <col min="9497" max="9505" width="17.7265625" style="1" customWidth="1"/>
    <col min="9506" max="9512" width="18.7265625" style="1" customWidth="1"/>
    <col min="9513" max="9521" width="17.7265625" style="1" customWidth="1"/>
    <col min="9522" max="9528" width="18.7265625" style="1" customWidth="1"/>
    <col min="9529" max="9537" width="17.7265625" style="1" customWidth="1"/>
    <col min="9538" max="9544" width="18.7265625" style="1" customWidth="1"/>
    <col min="9545" max="9553" width="17.54296875" style="1" customWidth="1"/>
    <col min="9554" max="9560" width="18.54296875" style="1" customWidth="1"/>
    <col min="9561" max="9569" width="17.54296875" style="1" bestFit="1" customWidth="1"/>
    <col min="9570" max="9576" width="18.54296875" style="1" bestFit="1" customWidth="1"/>
    <col min="9577" max="9728" width="11.453125" style="1"/>
    <col min="9729" max="9729" width="45.54296875" style="1" customWidth="1"/>
    <col min="9730" max="9730" width="8.81640625" style="1" bestFit="1" customWidth="1"/>
    <col min="9731" max="9731" width="13.7265625" style="1" bestFit="1" customWidth="1"/>
    <col min="9732" max="9732" width="16.81640625" style="1" customWidth="1"/>
    <col min="9733" max="9733" width="8.81640625" style="1" bestFit="1" customWidth="1"/>
    <col min="9734" max="9734" width="13.7265625" style="1" bestFit="1" customWidth="1"/>
    <col min="9735" max="9735" width="17.26953125" style="1" customWidth="1"/>
    <col min="9736" max="9736" width="11.453125" style="1"/>
    <col min="9737" max="9745" width="17.7265625" style="1" customWidth="1"/>
    <col min="9746" max="9752" width="18.7265625" style="1" customWidth="1"/>
    <col min="9753" max="9761" width="17.7265625" style="1" customWidth="1"/>
    <col min="9762" max="9768" width="18.7265625" style="1" customWidth="1"/>
    <col min="9769" max="9777" width="17.7265625" style="1" customWidth="1"/>
    <col min="9778" max="9784" width="18.7265625" style="1" customWidth="1"/>
    <col min="9785" max="9793" width="17.7265625" style="1" customWidth="1"/>
    <col min="9794" max="9800" width="18.7265625" style="1" customWidth="1"/>
    <col min="9801" max="9809" width="17.54296875" style="1" customWidth="1"/>
    <col min="9810" max="9816" width="18.54296875" style="1" customWidth="1"/>
    <col min="9817" max="9825" width="17.54296875" style="1" bestFit="1" customWidth="1"/>
    <col min="9826" max="9832" width="18.54296875" style="1" bestFit="1" customWidth="1"/>
    <col min="9833" max="9984" width="11.453125" style="1"/>
    <col min="9985" max="9985" width="45.54296875" style="1" customWidth="1"/>
    <col min="9986" max="9986" width="8.81640625" style="1" bestFit="1" customWidth="1"/>
    <col min="9987" max="9987" width="13.7265625" style="1" bestFit="1" customWidth="1"/>
    <col min="9988" max="9988" width="16.81640625" style="1" customWidth="1"/>
    <col min="9989" max="9989" width="8.81640625" style="1" bestFit="1" customWidth="1"/>
    <col min="9990" max="9990" width="13.7265625" style="1" bestFit="1" customWidth="1"/>
    <col min="9991" max="9991" width="17.26953125" style="1" customWidth="1"/>
    <col min="9992" max="9992" width="11.453125" style="1"/>
    <col min="9993" max="10001" width="17.7265625" style="1" customWidth="1"/>
    <col min="10002" max="10008" width="18.7265625" style="1" customWidth="1"/>
    <col min="10009" max="10017" width="17.7265625" style="1" customWidth="1"/>
    <col min="10018" max="10024" width="18.7265625" style="1" customWidth="1"/>
    <col min="10025" max="10033" width="17.7265625" style="1" customWidth="1"/>
    <col min="10034" max="10040" width="18.7265625" style="1" customWidth="1"/>
    <col min="10041" max="10049" width="17.7265625" style="1" customWidth="1"/>
    <col min="10050" max="10056" width="18.7265625" style="1" customWidth="1"/>
    <col min="10057" max="10065" width="17.54296875" style="1" customWidth="1"/>
    <col min="10066" max="10072" width="18.54296875" style="1" customWidth="1"/>
    <col min="10073" max="10081" width="17.54296875" style="1" bestFit="1" customWidth="1"/>
    <col min="10082" max="10088" width="18.54296875" style="1" bestFit="1" customWidth="1"/>
    <col min="10089" max="10240" width="11.453125" style="1"/>
    <col min="10241" max="10241" width="45.54296875" style="1" customWidth="1"/>
    <col min="10242" max="10242" width="8.81640625" style="1" bestFit="1" customWidth="1"/>
    <col min="10243" max="10243" width="13.7265625" style="1" bestFit="1" customWidth="1"/>
    <col min="10244" max="10244" width="16.81640625" style="1" customWidth="1"/>
    <col min="10245" max="10245" width="8.81640625" style="1" bestFit="1" customWidth="1"/>
    <col min="10246" max="10246" width="13.7265625" style="1" bestFit="1" customWidth="1"/>
    <col min="10247" max="10247" width="17.26953125" style="1" customWidth="1"/>
    <col min="10248" max="10248" width="11.453125" style="1"/>
    <col min="10249" max="10257" width="17.7265625" style="1" customWidth="1"/>
    <col min="10258" max="10264" width="18.7265625" style="1" customWidth="1"/>
    <col min="10265" max="10273" width="17.7265625" style="1" customWidth="1"/>
    <col min="10274" max="10280" width="18.7265625" style="1" customWidth="1"/>
    <col min="10281" max="10289" width="17.7265625" style="1" customWidth="1"/>
    <col min="10290" max="10296" width="18.7265625" style="1" customWidth="1"/>
    <col min="10297" max="10305" width="17.7265625" style="1" customWidth="1"/>
    <col min="10306" max="10312" width="18.7265625" style="1" customWidth="1"/>
    <col min="10313" max="10321" width="17.54296875" style="1" customWidth="1"/>
    <col min="10322" max="10328" width="18.54296875" style="1" customWidth="1"/>
    <col min="10329" max="10337" width="17.54296875" style="1" bestFit="1" customWidth="1"/>
    <col min="10338" max="10344" width="18.54296875" style="1" bestFit="1" customWidth="1"/>
    <col min="10345" max="10496" width="11.453125" style="1"/>
    <col min="10497" max="10497" width="45.54296875" style="1" customWidth="1"/>
    <col min="10498" max="10498" width="8.81640625" style="1" bestFit="1" customWidth="1"/>
    <col min="10499" max="10499" width="13.7265625" style="1" bestFit="1" customWidth="1"/>
    <col min="10500" max="10500" width="16.81640625" style="1" customWidth="1"/>
    <col min="10501" max="10501" width="8.81640625" style="1" bestFit="1" customWidth="1"/>
    <col min="10502" max="10502" width="13.7265625" style="1" bestFit="1" customWidth="1"/>
    <col min="10503" max="10503" width="17.26953125" style="1" customWidth="1"/>
    <col min="10504" max="10504" width="11.453125" style="1"/>
    <col min="10505" max="10513" width="17.7265625" style="1" customWidth="1"/>
    <col min="10514" max="10520" width="18.7265625" style="1" customWidth="1"/>
    <col min="10521" max="10529" width="17.7265625" style="1" customWidth="1"/>
    <col min="10530" max="10536" width="18.7265625" style="1" customWidth="1"/>
    <col min="10537" max="10545" width="17.7265625" style="1" customWidth="1"/>
    <col min="10546" max="10552" width="18.7265625" style="1" customWidth="1"/>
    <col min="10553" max="10561" width="17.7265625" style="1" customWidth="1"/>
    <col min="10562" max="10568" width="18.7265625" style="1" customWidth="1"/>
    <col min="10569" max="10577" width="17.54296875" style="1" customWidth="1"/>
    <col min="10578" max="10584" width="18.54296875" style="1" customWidth="1"/>
    <col min="10585" max="10593" width="17.54296875" style="1" bestFit="1" customWidth="1"/>
    <col min="10594" max="10600" width="18.54296875" style="1" bestFit="1" customWidth="1"/>
    <col min="10601" max="10752" width="11.453125" style="1"/>
    <col min="10753" max="10753" width="45.54296875" style="1" customWidth="1"/>
    <col min="10754" max="10754" width="8.81640625" style="1" bestFit="1" customWidth="1"/>
    <col min="10755" max="10755" width="13.7265625" style="1" bestFit="1" customWidth="1"/>
    <col min="10756" max="10756" width="16.81640625" style="1" customWidth="1"/>
    <col min="10757" max="10757" width="8.81640625" style="1" bestFit="1" customWidth="1"/>
    <col min="10758" max="10758" width="13.7265625" style="1" bestFit="1" customWidth="1"/>
    <col min="10759" max="10759" width="17.26953125" style="1" customWidth="1"/>
    <col min="10760" max="10760" width="11.453125" style="1"/>
    <col min="10761" max="10769" width="17.7265625" style="1" customWidth="1"/>
    <col min="10770" max="10776" width="18.7265625" style="1" customWidth="1"/>
    <col min="10777" max="10785" width="17.7265625" style="1" customWidth="1"/>
    <col min="10786" max="10792" width="18.7265625" style="1" customWidth="1"/>
    <col min="10793" max="10801" width="17.7265625" style="1" customWidth="1"/>
    <col min="10802" max="10808" width="18.7265625" style="1" customWidth="1"/>
    <col min="10809" max="10817" width="17.7265625" style="1" customWidth="1"/>
    <col min="10818" max="10824" width="18.7265625" style="1" customWidth="1"/>
    <col min="10825" max="10833" width="17.54296875" style="1" customWidth="1"/>
    <col min="10834" max="10840" width="18.54296875" style="1" customWidth="1"/>
    <col min="10841" max="10849" width="17.54296875" style="1" bestFit="1" customWidth="1"/>
    <col min="10850" max="10856" width="18.54296875" style="1" bestFit="1" customWidth="1"/>
    <col min="10857" max="11008" width="11.453125" style="1"/>
    <col min="11009" max="11009" width="45.54296875" style="1" customWidth="1"/>
    <col min="11010" max="11010" width="8.81640625" style="1" bestFit="1" customWidth="1"/>
    <col min="11011" max="11011" width="13.7265625" style="1" bestFit="1" customWidth="1"/>
    <col min="11012" max="11012" width="16.81640625" style="1" customWidth="1"/>
    <col min="11013" max="11013" width="8.81640625" style="1" bestFit="1" customWidth="1"/>
    <col min="11014" max="11014" width="13.7265625" style="1" bestFit="1" customWidth="1"/>
    <col min="11015" max="11015" width="17.26953125" style="1" customWidth="1"/>
    <col min="11016" max="11016" width="11.453125" style="1"/>
    <col min="11017" max="11025" width="17.7265625" style="1" customWidth="1"/>
    <col min="11026" max="11032" width="18.7265625" style="1" customWidth="1"/>
    <col min="11033" max="11041" width="17.7265625" style="1" customWidth="1"/>
    <col min="11042" max="11048" width="18.7265625" style="1" customWidth="1"/>
    <col min="11049" max="11057" width="17.7265625" style="1" customWidth="1"/>
    <col min="11058" max="11064" width="18.7265625" style="1" customWidth="1"/>
    <col min="11065" max="11073" width="17.7265625" style="1" customWidth="1"/>
    <col min="11074" max="11080" width="18.7265625" style="1" customWidth="1"/>
    <col min="11081" max="11089" width="17.54296875" style="1" customWidth="1"/>
    <col min="11090" max="11096" width="18.54296875" style="1" customWidth="1"/>
    <col min="11097" max="11105" width="17.54296875" style="1" bestFit="1" customWidth="1"/>
    <col min="11106" max="11112" width="18.54296875" style="1" bestFit="1" customWidth="1"/>
    <col min="11113" max="11264" width="11.453125" style="1"/>
    <col min="11265" max="11265" width="45.54296875" style="1" customWidth="1"/>
    <col min="11266" max="11266" width="8.81640625" style="1" bestFit="1" customWidth="1"/>
    <col min="11267" max="11267" width="13.7265625" style="1" bestFit="1" customWidth="1"/>
    <col min="11268" max="11268" width="16.81640625" style="1" customWidth="1"/>
    <col min="11269" max="11269" width="8.81640625" style="1" bestFit="1" customWidth="1"/>
    <col min="11270" max="11270" width="13.7265625" style="1" bestFit="1" customWidth="1"/>
    <col min="11271" max="11271" width="17.26953125" style="1" customWidth="1"/>
    <col min="11272" max="11272" width="11.453125" style="1"/>
    <col min="11273" max="11281" width="17.7265625" style="1" customWidth="1"/>
    <col min="11282" max="11288" width="18.7265625" style="1" customWidth="1"/>
    <col min="11289" max="11297" width="17.7265625" style="1" customWidth="1"/>
    <col min="11298" max="11304" width="18.7265625" style="1" customWidth="1"/>
    <col min="11305" max="11313" width="17.7265625" style="1" customWidth="1"/>
    <col min="11314" max="11320" width="18.7265625" style="1" customWidth="1"/>
    <col min="11321" max="11329" width="17.7265625" style="1" customWidth="1"/>
    <col min="11330" max="11336" width="18.7265625" style="1" customWidth="1"/>
    <col min="11337" max="11345" width="17.54296875" style="1" customWidth="1"/>
    <col min="11346" max="11352" width="18.54296875" style="1" customWidth="1"/>
    <col min="11353" max="11361" width="17.54296875" style="1" bestFit="1" customWidth="1"/>
    <col min="11362" max="11368" width="18.54296875" style="1" bestFit="1" customWidth="1"/>
    <col min="11369" max="11520" width="11.453125" style="1"/>
    <col min="11521" max="11521" width="45.54296875" style="1" customWidth="1"/>
    <col min="11522" max="11522" width="8.81640625" style="1" bestFit="1" customWidth="1"/>
    <col min="11523" max="11523" width="13.7265625" style="1" bestFit="1" customWidth="1"/>
    <col min="11524" max="11524" width="16.81640625" style="1" customWidth="1"/>
    <col min="11525" max="11525" width="8.81640625" style="1" bestFit="1" customWidth="1"/>
    <col min="11526" max="11526" width="13.7265625" style="1" bestFit="1" customWidth="1"/>
    <col min="11527" max="11527" width="17.26953125" style="1" customWidth="1"/>
    <col min="11528" max="11528" width="11.453125" style="1"/>
    <col min="11529" max="11537" width="17.7265625" style="1" customWidth="1"/>
    <col min="11538" max="11544" width="18.7265625" style="1" customWidth="1"/>
    <col min="11545" max="11553" width="17.7265625" style="1" customWidth="1"/>
    <col min="11554" max="11560" width="18.7265625" style="1" customWidth="1"/>
    <col min="11561" max="11569" width="17.7265625" style="1" customWidth="1"/>
    <col min="11570" max="11576" width="18.7265625" style="1" customWidth="1"/>
    <col min="11577" max="11585" width="17.7265625" style="1" customWidth="1"/>
    <col min="11586" max="11592" width="18.7265625" style="1" customWidth="1"/>
    <col min="11593" max="11601" width="17.54296875" style="1" customWidth="1"/>
    <col min="11602" max="11608" width="18.54296875" style="1" customWidth="1"/>
    <col min="11609" max="11617" width="17.54296875" style="1" bestFit="1" customWidth="1"/>
    <col min="11618" max="11624" width="18.54296875" style="1" bestFit="1" customWidth="1"/>
    <col min="11625" max="11776" width="11.453125" style="1"/>
    <col min="11777" max="11777" width="45.54296875" style="1" customWidth="1"/>
    <col min="11778" max="11778" width="8.81640625" style="1" bestFit="1" customWidth="1"/>
    <col min="11779" max="11779" width="13.7265625" style="1" bestFit="1" customWidth="1"/>
    <col min="11780" max="11780" width="16.81640625" style="1" customWidth="1"/>
    <col min="11781" max="11781" width="8.81640625" style="1" bestFit="1" customWidth="1"/>
    <col min="11782" max="11782" width="13.7265625" style="1" bestFit="1" customWidth="1"/>
    <col min="11783" max="11783" width="17.26953125" style="1" customWidth="1"/>
    <col min="11784" max="11784" width="11.453125" style="1"/>
    <col min="11785" max="11793" width="17.7265625" style="1" customWidth="1"/>
    <col min="11794" max="11800" width="18.7265625" style="1" customWidth="1"/>
    <col min="11801" max="11809" width="17.7265625" style="1" customWidth="1"/>
    <col min="11810" max="11816" width="18.7265625" style="1" customWidth="1"/>
    <col min="11817" max="11825" width="17.7265625" style="1" customWidth="1"/>
    <col min="11826" max="11832" width="18.7265625" style="1" customWidth="1"/>
    <col min="11833" max="11841" width="17.7265625" style="1" customWidth="1"/>
    <col min="11842" max="11848" width="18.7265625" style="1" customWidth="1"/>
    <col min="11849" max="11857" width="17.54296875" style="1" customWidth="1"/>
    <col min="11858" max="11864" width="18.54296875" style="1" customWidth="1"/>
    <col min="11865" max="11873" width="17.54296875" style="1" bestFit="1" customWidth="1"/>
    <col min="11874" max="11880" width="18.54296875" style="1" bestFit="1" customWidth="1"/>
    <col min="11881" max="12032" width="11.453125" style="1"/>
    <col min="12033" max="12033" width="45.54296875" style="1" customWidth="1"/>
    <col min="12034" max="12034" width="8.81640625" style="1" bestFit="1" customWidth="1"/>
    <col min="12035" max="12035" width="13.7265625" style="1" bestFit="1" customWidth="1"/>
    <col min="12036" max="12036" width="16.81640625" style="1" customWidth="1"/>
    <col min="12037" max="12037" width="8.81640625" style="1" bestFit="1" customWidth="1"/>
    <col min="12038" max="12038" width="13.7265625" style="1" bestFit="1" customWidth="1"/>
    <col min="12039" max="12039" width="17.26953125" style="1" customWidth="1"/>
    <col min="12040" max="12040" width="11.453125" style="1"/>
    <col min="12041" max="12049" width="17.7265625" style="1" customWidth="1"/>
    <col min="12050" max="12056" width="18.7265625" style="1" customWidth="1"/>
    <col min="12057" max="12065" width="17.7265625" style="1" customWidth="1"/>
    <col min="12066" max="12072" width="18.7265625" style="1" customWidth="1"/>
    <col min="12073" max="12081" width="17.7265625" style="1" customWidth="1"/>
    <col min="12082" max="12088" width="18.7265625" style="1" customWidth="1"/>
    <col min="12089" max="12097" width="17.7265625" style="1" customWidth="1"/>
    <col min="12098" max="12104" width="18.7265625" style="1" customWidth="1"/>
    <col min="12105" max="12113" width="17.54296875" style="1" customWidth="1"/>
    <col min="12114" max="12120" width="18.54296875" style="1" customWidth="1"/>
    <col min="12121" max="12129" width="17.54296875" style="1" bestFit="1" customWidth="1"/>
    <col min="12130" max="12136" width="18.54296875" style="1" bestFit="1" customWidth="1"/>
    <col min="12137" max="12288" width="11.453125" style="1"/>
    <col min="12289" max="12289" width="45.54296875" style="1" customWidth="1"/>
    <col min="12290" max="12290" width="8.81640625" style="1" bestFit="1" customWidth="1"/>
    <col min="12291" max="12291" width="13.7265625" style="1" bestFit="1" customWidth="1"/>
    <col min="12292" max="12292" width="16.81640625" style="1" customWidth="1"/>
    <col min="12293" max="12293" width="8.81640625" style="1" bestFit="1" customWidth="1"/>
    <col min="12294" max="12294" width="13.7265625" style="1" bestFit="1" customWidth="1"/>
    <col min="12295" max="12295" width="17.26953125" style="1" customWidth="1"/>
    <col min="12296" max="12296" width="11.453125" style="1"/>
    <col min="12297" max="12305" width="17.7265625" style="1" customWidth="1"/>
    <col min="12306" max="12312" width="18.7265625" style="1" customWidth="1"/>
    <col min="12313" max="12321" width="17.7265625" style="1" customWidth="1"/>
    <col min="12322" max="12328" width="18.7265625" style="1" customWidth="1"/>
    <col min="12329" max="12337" width="17.7265625" style="1" customWidth="1"/>
    <col min="12338" max="12344" width="18.7265625" style="1" customWidth="1"/>
    <col min="12345" max="12353" width="17.7265625" style="1" customWidth="1"/>
    <col min="12354" max="12360" width="18.7265625" style="1" customWidth="1"/>
    <col min="12361" max="12369" width="17.54296875" style="1" customWidth="1"/>
    <col min="12370" max="12376" width="18.54296875" style="1" customWidth="1"/>
    <col min="12377" max="12385" width="17.54296875" style="1" bestFit="1" customWidth="1"/>
    <col min="12386" max="12392" width="18.54296875" style="1" bestFit="1" customWidth="1"/>
    <col min="12393" max="12544" width="11.453125" style="1"/>
    <col min="12545" max="12545" width="45.54296875" style="1" customWidth="1"/>
    <col min="12546" max="12546" width="8.81640625" style="1" bestFit="1" customWidth="1"/>
    <col min="12547" max="12547" width="13.7265625" style="1" bestFit="1" customWidth="1"/>
    <col min="12548" max="12548" width="16.81640625" style="1" customWidth="1"/>
    <col min="12549" max="12549" width="8.81640625" style="1" bestFit="1" customWidth="1"/>
    <col min="12550" max="12550" width="13.7265625" style="1" bestFit="1" customWidth="1"/>
    <col min="12551" max="12551" width="17.26953125" style="1" customWidth="1"/>
    <col min="12552" max="12552" width="11.453125" style="1"/>
    <col min="12553" max="12561" width="17.7265625" style="1" customWidth="1"/>
    <col min="12562" max="12568" width="18.7265625" style="1" customWidth="1"/>
    <col min="12569" max="12577" width="17.7265625" style="1" customWidth="1"/>
    <col min="12578" max="12584" width="18.7265625" style="1" customWidth="1"/>
    <col min="12585" max="12593" width="17.7265625" style="1" customWidth="1"/>
    <col min="12594" max="12600" width="18.7265625" style="1" customWidth="1"/>
    <col min="12601" max="12609" width="17.7265625" style="1" customWidth="1"/>
    <col min="12610" max="12616" width="18.7265625" style="1" customWidth="1"/>
    <col min="12617" max="12625" width="17.54296875" style="1" customWidth="1"/>
    <col min="12626" max="12632" width="18.54296875" style="1" customWidth="1"/>
    <col min="12633" max="12641" width="17.54296875" style="1" bestFit="1" customWidth="1"/>
    <col min="12642" max="12648" width="18.54296875" style="1" bestFit="1" customWidth="1"/>
    <col min="12649" max="12800" width="11.453125" style="1"/>
    <col min="12801" max="12801" width="45.54296875" style="1" customWidth="1"/>
    <col min="12802" max="12802" width="8.81640625" style="1" bestFit="1" customWidth="1"/>
    <col min="12803" max="12803" width="13.7265625" style="1" bestFit="1" customWidth="1"/>
    <col min="12804" max="12804" width="16.81640625" style="1" customWidth="1"/>
    <col min="12805" max="12805" width="8.81640625" style="1" bestFit="1" customWidth="1"/>
    <col min="12806" max="12806" width="13.7265625" style="1" bestFit="1" customWidth="1"/>
    <col min="12807" max="12807" width="17.26953125" style="1" customWidth="1"/>
    <col min="12808" max="12808" width="11.453125" style="1"/>
    <col min="12809" max="12817" width="17.7265625" style="1" customWidth="1"/>
    <col min="12818" max="12824" width="18.7265625" style="1" customWidth="1"/>
    <col min="12825" max="12833" width="17.7265625" style="1" customWidth="1"/>
    <col min="12834" max="12840" width="18.7265625" style="1" customWidth="1"/>
    <col min="12841" max="12849" width="17.7265625" style="1" customWidth="1"/>
    <col min="12850" max="12856" width="18.7265625" style="1" customWidth="1"/>
    <col min="12857" max="12865" width="17.7265625" style="1" customWidth="1"/>
    <col min="12866" max="12872" width="18.7265625" style="1" customWidth="1"/>
    <col min="12873" max="12881" width="17.54296875" style="1" customWidth="1"/>
    <col min="12882" max="12888" width="18.54296875" style="1" customWidth="1"/>
    <col min="12889" max="12897" width="17.54296875" style="1" bestFit="1" customWidth="1"/>
    <col min="12898" max="12904" width="18.54296875" style="1" bestFit="1" customWidth="1"/>
    <col min="12905" max="13056" width="11.453125" style="1"/>
    <col min="13057" max="13057" width="45.54296875" style="1" customWidth="1"/>
    <col min="13058" max="13058" width="8.81640625" style="1" bestFit="1" customWidth="1"/>
    <col min="13059" max="13059" width="13.7265625" style="1" bestFit="1" customWidth="1"/>
    <col min="13060" max="13060" width="16.81640625" style="1" customWidth="1"/>
    <col min="13061" max="13061" width="8.81640625" style="1" bestFit="1" customWidth="1"/>
    <col min="13062" max="13062" width="13.7265625" style="1" bestFit="1" customWidth="1"/>
    <col min="13063" max="13063" width="17.26953125" style="1" customWidth="1"/>
    <col min="13064" max="13064" width="11.453125" style="1"/>
    <col min="13065" max="13073" width="17.7265625" style="1" customWidth="1"/>
    <col min="13074" max="13080" width="18.7265625" style="1" customWidth="1"/>
    <col min="13081" max="13089" width="17.7265625" style="1" customWidth="1"/>
    <col min="13090" max="13096" width="18.7265625" style="1" customWidth="1"/>
    <col min="13097" max="13105" width="17.7265625" style="1" customWidth="1"/>
    <col min="13106" max="13112" width="18.7265625" style="1" customWidth="1"/>
    <col min="13113" max="13121" width="17.7265625" style="1" customWidth="1"/>
    <col min="13122" max="13128" width="18.7265625" style="1" customWidth="1"/>
    <col min="13129" max="13137" width="17.54296875" style="1" customWidth="1"/>
    <col min="13138" max="13144" width="18.54296875" style="1" customWidth="1"/>
    <col min="13145" max="13153" width="17.54296875" style="1" bestFit="1" customWidth="1"/>
    <col min="13154" max="13160" width="18.54296875" style="1" bestFit="1" customWidth="1"/>
    <col min="13161" max="13312" width="11.453125" style="1"/>
    <col min="13313" max="13313" width="45.54296875" style="1" customWidth="1"/>
    <col min="13314" max="13314" width="8.81640625" style="1" bestFit="1" customWidth="1"/>
    <col min="13315" max="13315" width="13.7265625" style="1" bestFit="1" customWidth="1"/>
    <col min="13316" max="13316" width="16.81640625" style="1" customWidth="1"/>
    <col min="13317" max="13317" width="8.81640625" style="1" bestFit="1" customWidth="1"/>
    <col min="13318" max="13318" width="13.7265625" style="1" bestFit="1" customWidth="1"/>
    <col min="13319" max="13319" width="17.26953125" style="1" customWidth="1"/>
    <col min="13320" max="13320" width="11.453125" style="1"/>
    <col min="13321" max="13329" width="17.7265625" style="1" customWidth="1"/>
    <col min="13330" max="13336" width="18.7265625" style="1" customWidth="1"/>
    <col min="13337" max="13345" width="17.7265625" style="1" customWidth="1"/>
    <col min="13346" max="13352" width="18.7265625" style="1" customWidth="1"/>
    <col min="13353" max="13361" width="17.7265625" style="1" customWidth="1"/>
    <col min="13362" max="13368" width="18.7265625" style="1" customWidth="1"/>
    <col min="13369" max="13377" width="17.7265625" style="1" customWidth="1"/>
    <col min="13378" max="13384" width="18.7265625" style="1" customWidth="1"/>
    <col min="13385" max="13393" width="17.54296875" style="1" customWidth="1"/>
    <col min="13394" max="13400" width="18.54296875" style="1" customWidth="1"/>
    <col min="13401" max="13409" width="17.54296875" style="1" bestFit="1" customWidth="1"/>
    <col min="13410" max="13416" width="18.54296875" style="1" bestFit="1" customWidth="1"/>
    <col min="13417" max="13568" width="11.453125" style="1"/>
    <col min="13569" max="13569" width="45.54296875" style="1" customWidth="1"/>
    <col min="13570" max="13570" width="8.81640625" style="1" bestFit="1" customWidth="1"/>
    <col min="13571" max="13571" width="13.7265625" style="1" bestFit="1" customWidth="1"/>
    <col min="13572" max="13572" width="16.81640625" style="1" customWidth="1"/>
    <col min="13573" max="13573" width="8.81640625" style="1" bestFit="1" customWidth="1"/>
    <col min="13574" max="13574" width="13.7265625" style="1" bestFit="1" customWidth="1"/>
    <col min="13575" max="13575" width="17.26953125" style="1" customWidth="1"/>
    <col min="13576" max="13576" width="11.453125" style="1"/>
    <col min="13577" max="13585" width="17.7265625" style="1" customWidth="1"/>
    <col min="13586" max="13592" width="18.7265625" style="1" customWidth="1"/>
    <col min="13593" max="13601" width="17.7265625" style="1" customWidth="1"/>
    <col min="13602" max="13608" width="18.7265625" style="1" customWidth="1"/>
    <col min="13609" max="13617" width="17.7265625" style="1" customWidth="1"/>
    <col min="13618" max="13624" width="18.7265625" style="1" customWidth="1"/>
    <col min="13625" max="13633" width="17.7265625" style="1" customWidth="1"/>
    <col min="13634" max="13640" width="18.7265625" style="1" customWidth="1"/>
    <col min="13641" max="13649" width="17.54296875" style="1" customWidth="1"/>
    <col min="13650" max="13656" width="18.54296875" style="1" customWidth="1"/>
    <col min="13657" max="13665" width="17.54296875" style="1" bestFit="1" customWidth="1"/>
    <col min="13666" max="13672" width="18.54296875" style="1" bestFit="1" customWidth="1"/>
    <col min="13673" max="13824" width="11.453125" style="1"/>
    <col min="13825" max="13825" width="45.54296875" style="1" customWidth="1"/>
    <col min="13826" max="13826" width="8.81640625" style="1" bestFit="1" customWidth="1"/>
    <col min="13827" max="13827" width="13.7265625" style="1" bestFit="1" customWidth="1"/>
    <col min="13828" max="13828" width="16.81640625" style="1" customWidth="1"/>
    <col min="13829" max="13829" width="8.81640625" style="1" bestFit="1" customWidth="1"/>
    <col min="13830" max="13830" width="13.7265625" style="1" bestFit="1" customWidth="1"/>
    <col min="13831" max="13831" width="17.26953125" style="1" customWidth="1"/>
    <col min="13832" max="13832" width="11.453125" style="1"/>
    <col min="13833" max="13841" width="17.7265625" style="1" customWidth="1"/>
    <col min="13842" max="13848" width="18.7265625" style="1" customWidth="1"/>
    <col min="13849" max="13857" width="17.7265625" style="1" customWidth="1"/>
    <col min="13858" max="13864" width="18.7265625" style="1" customWidth="1"/>
    <col min="13865" max="13873" width="17.7265625" style="1" customWidth="1"/>
    <col min="13874" max="13880" width="18.7265625" style="1" customWidth="1"/>
    <col min="13881" max="13889" width="17.7265625" style="1" customWidth="1"/>
    <col min="13890" max="13896" width="18.7265625" style="1" customWidth="1"/>
    <col min="13897" max="13905" width="17.54296875" style="1" customWidth="1"/>
    <col min="13906" max="13912" width="18.54296875" style="1" customWidth="1"/>
    <col min="13913" max="13921" width="17.54296875" style="1" bestFit="1" customWidth="1"/>
    <col min="13922" max="13928" width="18.54296875" style="1" bestFit="1" customWidth="1"/>
    <col min="13929" max="14080" width="11.453125" style="1"/>
    <col min="14081" max="14081" width="45.54296875" style="1" customWidth="1"/>
    <col min="14082" max="14082" width="8.81640625" style="1" bestFit="1" customWidth="1"/>
    <col min="14083" max="14083" width="13.7265625" style="1" bestFit="1" customWidth="1"/>
    <col min="14084" max="14084" width="16.81640625" style="1" customWidth="1"/>
    <col min="14085" max="14085" width="8.81640625" style="1" bestFit="1" customWidth="1"/>
    <col min="14086" max="14086" width="13.7265625" style="1" bestFit="1" customWidth="1"/>
    <col min="14087" max="14087" width="17.26953125" style="1" customWidth="1"/>
    <col min="14088" max="14088" width="11.453125" style="1"/>
    <col min="14089" max="14097" width="17.7265625" style="1" customWidth="1"/>
    <col min="14098" max="14104" width="18.7265625" style="1" customWidth="1"/>
    <col min="14105" max="14113" width="17.7265625" style="1" customWidth="1"/>
    <col min="14114" max="14120" width="18.7265625" style="1" customWidth="1"/>
    <col min="14121" max="14129" width="17.7265625" style="1" customWidth="1"/>
    <col min="14130" max="14136" width="18.7265625" style="1" customWidth="1"/>
    <col min="14137" max="14145" width="17.7265625" style="1" customWidth="1"/>
    <col min="14146" max="14152" width="18.7265625" style="1" customWidth="1"/>
    <col min="14153" max="14161" width="17.54296875" style="1" customWidth="1"/>
    <col min="14162" max="14168" width="18.54296875" style="1" customWidth="1"/>
    <col min="14169" max="14177" width="17.54296875" style="1" bestFit="1" customWidth="1"/>
    <col min="14178" max="14184" width="18.54296875" style="1" bestFit="1" customWidth="1"/>
    <col min="14185" max="14336" width="11.453125" style="1"/>
    <col min="14337" max="14337" width="45.54296875" style="1" customWidth="1"/>
    <col min="14338" max="14338" width="8.81640625" style="1" bestFit="1" customWidth="1"/>
    <col min="14339" max="14339" width="13.7265625" style="1" bestFit="1" customWidth="1"/>
    <col min="14340" max="14340" width="16.81640625" style="1" customWidth="1"/>
    <col min="14341" max="14341" width="8.81640625" style="1" bestFit="1" customWidth="1"/>
    <col min="14342" max="14342" width="13.7265625" style="1" bestFit="1" customWidth="1"/>
    <col min="14343" max="14343" width="17.26953125" style="1" customWidth="1"/>
    <col min="14344" max="14344" width="11.453125" style="1"/>
    <col min="14345" max="14353" width="17.7265625" style="1" customWidth="1"/>
    <col min="14354" max="14360" width="18.7265625" style="1" customWidth="1"/>
    <col min="14361" max="14369" width="17.7265625" style="1" customWidth="1"/>
    <col min="14370" max="14376" width="18.7265625" style="1" customWidth="1"/>
    <col min="14377" max="14385" width="17.7265625" style="1" customWidth="1"/>
    <col min="14386" max="14392" width="18.7265625" style="1" customWidth="1"/>
    <col min="14393" max="14401" width="17.7265625" style="1" customWidth="1"/>
    <col min="14402" max="14408" width="18.7265625" style="1" customWidth="1"/>
    <col min="14409" max="14417" width="17.54296875" style="1" customWidth="1"/>
    <col min="14418" max="14424" width="18.54296875" style="1" customWidth="1"/>
    <col min="14425" max="14433" width="17.54296875" style="1" bestFit="1" customWidth="1"/>
    <col min="14434" max="14440" width="18.54296875" style="1" bestFit="1" customWidth="1"/>
    <col min="14441" max="14592" width="11.453125" style="1"/>
    <col min="14593" max="14593" width="45.54296875" style="1" customWidth="1"/>
    <col min="14594" max="14594" width="8.81640625" style="1" bestFit="1" customWidth="1"/>
    <col min="14595" max="14595" width="13.7265625" style="1" bestFit="1" customWidth="1"/>
    <col min="14596" max="14596" width="16.81640625" style="1" customWidth="1"/>
    <col min="14597" max="14597" width="8.81640625" style="1" bestFit="1" customWidth="1"/>
    <col min="14598" max="14598" width="13.7265625" style="1" bestFit="1" customWidth="1"/>
    <col min="14599" max="14599" width="17.26953125" style="1" customWidth="1"/>
    <col min="14600" max="14600" width="11.453125" style="1"/>
    <col min="14601" max="14609" width="17.7265625" style="1" customWidth="1"/>
    <col min="14610" max="14616" width="18.7265625" style="1" customWidth="1"/>
    <col min="14617" max="14625" width="17.7265625" style="1" customWidth="1"/>
    <col min="14626" max="14632" width="18.7265625" style="1" customWidth="1"/>
    <col min="14633" max="14641" width="17.7265625" style="1" customWidth="1"/>
    <col min="14642" max="14648" width="18.7265625" style="1" customWidth="1"/>
    <col min="14649" max="14657" width="17.7265625" style="1" customWidth="1"/>
    <col min="14658" max="14664" width="18.7265625" style="1" customWidth="1"/>
    <col min="14665" max="14673" width="17.54296875" style="1" customWidth="1"/>
    <col min="14674" max="14680" width="18.54296875" style="1" customWidth="1"/>
    <col min="14681" max="14689" width="17.54296875" style="1" bestFit="1" customWidth="1"/>
    <col min="14690" max="14696" width="18.54296875" style="1" bestFit="1" customWidth="1"/>
    <col min="14697" max="14848" width="11.453125" style="1"/>
    <col min="14849" max="14849" width="45.54296875" style="1" customWidth="1"/>
    <col min="14850" max="14850" width="8.81640625" style="1" bestFit="1" customWidth="1"/>
    <col min="14851" max="14851" width="13.7265625" style="1" bestFit="1" customWidth="1"/>
    <col min="14852" max="14852" width="16.81640625" style="1" customWidth="1"/>
    <col min="14853" max="14853" width="8.81640625" style="1" bestFit="1" customWidth="1"/>
    <col min="14854" max="14854" width="13.7265625" style="1" bestFit="1" customWidth="1"/>
    <col min="14855" max="14855" width="17.26953125" style="1" customWidth="1"/>
    <col min="14856" max="14856" width="11.453125" style="1"/>
    <col min="14857" max="14865" width="17.7265625" style="1" customWidth="1"/>
    <col min="14866" max="14872" width="18.7265625" style="1" customWidth="1"/>
    <col min="14873" max="14881" width="17.7265625" style="1" customWidth="1"/>
    <col min="14882" max="14888" width="18.7265625" style="1" customWidth="1"/>
    <col min="14889" max="14897" width="17.7265625" style="1" customWidth="1"/>
    <col min="14898" max="14904" width="18.7265625" style="1" customWidth="1"/>
    <col min="14905" max="14913" width="17.7265625" style="1" customWidth="1"/>
    <col min="14914" max="14920" width="18.7265625" style="1" customWidth="1"/>
    <col min="14921" max="14929" width="17.54296875" style="1" customWidth="1"/>
    <col min="14930" max="14936" width="18.54296875" style="1" customWidth="1"/>
    <col min="14937" max="14945" width="17.54296875" style="1" bestFit="1" customWidth="1"/>
    <col min="14946" max="14952" width="18.54296875" style="1" bestFit="1" customWidth="1"/>
    <col min="14953" max="15104" width="11.453125" style="1"/>
    <col min="15105" max="15105" width="45.54296875" style="1" customWidth="1"/>
    <col min="15106" max="15106" width="8.81640625" style="1" bestFit="1" customWidth="1"/>
    <col min="15107" max="15107" width="13.7265625" style="1" bestFit="1" customWidth="1"/>
    <col min="15108" max="15108" width="16.81640625" style="1" customWidth="1"/>
    <col min="15109" max="15109" width="8.81640625" style="1" bestFit="1" customWidth="1"/>
    <col min="15110" max="15110" width="13.7265625" style="1" bestFit="1" customWidth="1"/>
    <col min="15111" max="15111" width="17.26953125" style="1" customWidth="1"/>
    <col min="15112" max="15112" width="11.453125" style="1"/>
    <col min="15113" max="15121" width="17.7265625" style="1" customWidth="1"/>
    <col min="15122" max="15128" width="18.7265625" style="1" customWidth="1"/>
    <col min="15129" max="15137" width="17.7265625" style="1" customWidth="1"/>
    <col min="15138" max="15144" width="18.7265625" style="1" customWidth="1"/>
    <col min="15145" max="15153" width="17.7265625" style="1" customWidth="1"/>
    <col min="15154" max="15160" width="18.7265625" style="1" customWidth="1"/>
    <col min="15161" max="15169" width="17.7265625" style="1" customWidth="1"/>
    <col min="15170" max="15176" width="18.7265625" style="1" customWidth="1"/>
    <col min="15177" max="15185" width="17.54296875" style="1" customWidth="1"/>
    <col min="15186" max="15192" width="18.54296875" style="1" customWidth="1"/>
    <col min="15193" max="15201" width="17.54296875" style="1" bestFit="1" customWidth="1"/>
    <col min="15202" max="15208" width="18.54296875" style="1" bestFit="1" customWidth="1"/>
    <col min="15209" max="15360" width="11.453125" style="1"/>
    <col min="15361" max="15361" width="45.54296875" style="1" customWidth="1"/>
    <col min="15362" max="15362" width="8.81640625" style="1" bestFit="1" customWidth="1"/>
    <col min="15363" max="15363" width="13.7265625" style="1" bestFit="1" customWidth="1"/>
    <col min="15364" max="15364" width="16.81640625" style="1" customWidth="1"/>
    <col min="15365" max="15365" width="8.81640625" style="1" bestFit="1" customWidth="1"/>
    <col min="15366" max="15366" width="13.7265625" style="1" bestFit="1" customWidth="1"/>
    <col min="15367" max="15367" width="17.26953125" style="1" customWidth="1"/>
    <col min="15368" max="15368" width="11.453125" style="1"/>
    <col min="15369" max="15377" width="17.7265625" style="1" customWidth="1"/>
    <col min="15378" max="15384" width="18.7265625" style="1" customWidth="1"/>
    <col min="15385" max="15393" width="17.7265625" style="1" customWidth="1"/>
    <col min="15394" max="15400" width="18.7265625" style="1" customWidth="1"/>
    <col min="15401" max="15409" width="17.7265625" style="1" customWidth="1"/>
    <col min="15410" max="15416" width="18.7265625" style="1" customWidth="1"/>
    <col min="15417" max="15425" width="17.7265625" style="1" customWidth="1"/>
    <col min="15426" max="15432" width="18.7265625" style="1" customWidth="1"/>
    <col min="15433" max="15441" width="17.54296875" style="1" customWidth="1"/>
    <col min="15442" max="15448" width="18.54296875" style="1" customWidth="1"/>
    <col min="15449" max="15457" width="17.54296875" style="1" bestFit="1" customWidth="1"/>
    <col min="15458" max="15464" width="18.54296875" style="1" bestFit="1" customWidth="1"/>
    <col min="15465" max="15616" width="11.453125" style="1"/>
    <col min="15617" max="15617" width="45.54296875" style="1" customWidth="1"/>
    <col min="15618" max="15618" width="8.81640625" style="1" bestFit="1" customWidth="1"/>
    <col min="15619" max="15619" width="13.7265625" style="1" bestFit="1" customWidth="1"/>
    <col min="15620" max="15620" width="16.81640625" style="1" customWidth="1"/>
    <col min="15621" max="15621" width="8.81640625" style="1" bestFit="1" customWidth="1"/>
    <col min="15622" max="15622" width="13.7265625" style="1" bestFit="1" customWidth="1"/>
    <col min="15623" max="15623" width="17.26953125" style="1" customWidth="1"/>
    <col min="15624" max="15624" width="11.453125" style="1"/>
    <col min="15625" max="15633" width="17.7265625" style="1" customWidth="1"/>
    <col min="15634" max="15640" width="18.7265625" style="1" customWidth="1"/>
    <col min="15641" max="15649" width="17.7265625" style="1" customWidth="1"/>
    <col min="15650" max="15656" width="18.7265625" style="1" customWidth="1"/>
    <col min="15657" max="15665" width="17.7265625" style="1" customWidth="1"/>
    <col min="15666" max="15672" width="18.7265625" style="1" customWidth="1"/>
    <col min="15673" max="15681" width="17.7265625" style="1" customWidth="1"/>
    <col min="15682" max="15688" width="18.7265625" style="1" customWidth="1"/>
    <col min="15689" max="15697" width="17.54296875" style="1" customWidth="1"/>
    <col min="15698" max="15704" width="18.54296875" style="1" customWidth="1"/>
    <col min="15705" max="15713" width="17.54296875" style="1" bestFit="1" customWidth="1"/>
    <col min="15714" max="15720" width="18.54296875" style="1" bestFit="1" customWidth="1"/>
    <col min="15721" max="15872" width="11.453125" style="1"/>
    <col min="15873" max="15873" width="45.54296875" style="1" customWidth="1"/>
    <col min="15874" max="15874" width="8.81640625" style="1" bestFit="1" customWidth="1"/>
    <col min="15875" max="15875" width="13.7265625" style="1" bestFit="1" customWidth="1"/>
    <col min="15876" max="15876" width="16.81640625" style="1" customWidth="1"/>
    <col min="15877" max="15877" width="8.81640625" style="1" bestFit="1" customWidth="1"/>
    <col min="15878" max="15878" width="13.7265625" style="1" bestFit="1" customWidth="1"/>
    <col min="15879" max="15879" width="17.26953125" style="1" customWidth="1"/>
    <col min="15880" max="15880" width="11.453125" style="1"/>
    <col min="15881" max="15889" width="17.7265625" style="1" customWidth="1"/>
    <col min="15890" max="15896" width="18.7265625" style="1" customWidth="1"/>
    <col min="15897" max="15905" width="17.7265625" style="1" customWidth="1"/>
    <col min="15906" max="15912" width="18.7265625" style="1" customWidth="1"/>
    <col min="15913" max="15921" width="17.7265625" style="1" customWidth="1"/>
    <col min="15922" max="15928" width="18.7265625" style="1" customWidth="1"/>
    <col min="15929" max="15937" width="17.7265625" style="1" customWidth="1"/>
    <col min="15938" max="15944" width="18.7265625" style="1" customWidth="1"/>
    <col min="15945" max="15953" width="17.54296875" style="1" customWidth="1"/>
    <col min="15954" max="15960" width="18.54296875" style="1" customWidth="1"/>
    <col min="15961" max="15969" width="17.54296875" style="1" bestFit="1" customWidth="1"/>
    <col min="15970" max="15976" width="18.54296875" style="1" bestFit="1" customWidth="1"/>
    <col min="15977" max="16128" width="11.453125" style="1"/>
    <col min="16129" max="16129" width="45.54296875" style="1" customWidth="1"/>
    <col min="16130" max="16130" width="8.81640625" style="1" bestFit="1" customWidth="1"/>
    <col min="16131" max="16131" width="13.7265625" style="1" bestFit="1" customWidth="1"/>
    <col min="16132" max="16132" width="16.81640625" style="1" customWidth="1"/>
    <col min="16133" max="16133" width="8.81640625" style="1" bestFit="1" customWidth="1"/>
    <col min="16134" max="16134" width="13.7265625" style="1" bestFit="1" customWidth="1"/>
    <col min="16135" max="16135" width="17.26953125" style="1" customWidth="1"/>
    <col min="16136" max="16136" width="11.453125" style="1"/>
    <col min="16137" max="16145" width="17.7265625" style="1" customWidth="1"/>
    <col min="16146" max="16152" width="18.7265625" style="1" customWidth="1"/>
    <col min="16153" max="16161" width="17.7265625" style="1" customWidth="1"/>
    <col min="16162" max="16168" width="18.7265625" style="1" customWidth="1"/>
    <col min="16169" max="16177" width="17.7265625" style="1" customWidth="1"/>
    <col min="16178" max="16184" width="18.7265625" style="1" customWidth="1"/>
    <col min="16185" max="16193" width="17.7265625" style="1" customWidth="1"/>
    <col min="16194" max="16200" width="18.7265625" style="1" customWidth="1"/>
    <col min="16201" max="16209" width="17.54296875" style="1" customWidth="1"/>
    <col min="16210" max="16216" width="18.54296875" style="1" customWidth="1"/>
    <col min="16217" max="16225" width="17.54296875" style="1" bestFit="1" customWidth="1"/>
    <col min="16226" max="16232" width="18.54296875" style="1" bestFit="1" customWidth="1"/>
    <col min="16233" max="16384" width="11.453125" style="1"/>
  </cols>
  <sheetData>
    <row r="1" spans="1:104" ht="18" customHeight="1" thickBot="1" x14ac:dyDescent="0.35">
      <c r="G1" s="2" t="s">
        <v>0</v>
      </c>
    </row>
    <row r="3" spans="1:104" ht="23.5" x14ac:dyDescent="0.55000000000000004">
      <c r="A3" s="783" t="s">
        <v>1</v>
      </c>
      <c r="B3" s="783"/>
      <c r="C3" s="783"/>
      <c r="D3" s="783"/>
      <c r="E3" s="783"/>
      <c r="F3" s="783"/>
      <c r="G3" s="783"/>
    </row>
    <row r="4" spans="1:104" ht="23.5" x14ac:dyDescent="0.55000000000000004">
      <c r="A4" s="783" t="s">
        <v>2</v>
      </c>
      <c r="B4" s="783"/>
      <c r="C4" s="783"/>
      <c r="D4" s="783"/>
      <c r="E4" s="783"/>
      <c r="F4" s="783"/>
      <c r="G4" s="783"/>
    </row>
    <row r="5" spans="1:104" ht="23.5" x14ac:dyDescent="0.55000000000000004">
      <c r="A5" s="783" t="s">
        <v>3</v>
      </c>
      <c r="B5" s="783"/>
      <c r="C5" s="783"/>
      <c r="D5" s="783"/>
      <c r="E5" s="783"/>
      <c r="F5" s="783"/>
      <c r="G5" s="783"/>
    </row>
    <row r="6" spans="1:104" ht="18.5" x14ac:dyDescent="0.45">
      <c r="A6" s="784" t="s">
        <v>64</v>
      </c>
      <c r="B6" s="784"/>
      <c r="C6" s="784"/>
      <c r="D6" s="784"/>
      <c r="E6" s="784"/>
      <c r="F6" s="784"/>
      <c r="G6" s="784"/>
    </row>
    <row r="7" spans="1:104" ht="18.5" x14ac:dyDescent="0.45">
      <c r="A7" s="784" t="s">
        <v>4</v>
      </c>
      <c r="B7" s="784"/>
      <c r="C7" s="784"/>
      <c r="D7" s="784"/>
      <c r="E7" s="784"/>
      <c r="F7" s="784"/>
      <c r="G7" s="784"/>
    </row>
    <row r="9" spans="1:104" ht="13.5" thickBot="1" x14ac:dyDescent="0.35"/>
    <row r="10" spans="1:104" ht="13.5" thickBot="1" x14ac:dyDescent="0.35">
      <c r="A10" s="777" t="s">
        <v>5</v>
      </c>
      <c r="B10" s="780" t="s">
        <v>6</v>
      </c>
      <c r="C10" s="781"/>
      <c r="D10" s="782"/>
      <c r="E10" s="780" t="s">
        <v>7</v>
      </c>
      <c r="F10" s="781"/>
      <c r="G10" s="782"/>
    </row>
    <row r="11" spans="1:104" x14ac:dyDescent="0.3">
      <c r="A11" s="778"/>
      <c r="B11" s="3" t="s">
        <v>8</v>
      </c>
      <c r="C11" s="3" t="s">
        <v>8</v>
      </c>
      <c r="D11" s="4"/>
      <c r="E11" s="3" t="s">
        <v>8</v>
      </c>
      <c r="F11" s="3" t="s">
        <v>8</v>
      </c>
      <c r="G11" s="4"/>
    </row>
    <row r="12" spans="1:104" ht="13.5" thickBot="1" x14ac:dyDescent="0.35">
      <c r="A12" s="779"/>
      <c r="B12" s="5" t="s">
        <v>9</v>
      </c>
      <c r="C12" s="5" t="s">
        <v>10</v>
      </c>
      <c r="D12" s="5" t="s">
        <v>11</v>
      </c>
      <c r="E12" s="5" t="s">
        <v>9</v>
      </c>
      <c r="F12" s="5" t="s">
        <v>10</v>
      </c>
      <c r="G12" s="5" t="s">
        <v>11</v>
      </c>
    </row>
    <row r="13" spans="1:104" x14ac:dyDescent="0.3">
      <c r="A13" s="6"/>
      <c r="B13" s="6"/>
      <c r="C13" s="6"/>
      <c r="D13" s="6"/>
      <c r="E13" s="6"/>
      <c r="F13" s="6"/>
      <c r="G13" s="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4" x14ac:dyDescent="0.3">
      <c r="A14" s="8" t="s">
        <v>12</v>
      </c>
      <c r="B14" s="9">
        <v>1807</v>
      </c>
      <c r="C14" s="9">
        <v>306240</v>
      </c>
      <c r="D14" s="9">
        <v>9744028819.4799995</v>
      </c>
      <c r="E14" s="9">
        <v>17872</v>
      </c>
      <c r="F14" s="9">
        <v>131565</v>
      </c>
      <c r="G14" s="9">
        <v>21107280279.580002</v>
      </c>
    </row>
    <row r="15" spans="1:104" x14ac:dyDescent="0.3">
      <c r="A15" s="6"/>
      <c r="B15" s="10"/>
      <c r="C15" s="10"/>
      <c r="D15" s="10"/>
      <c r="E15" s="10"/>
      <c r="F15" s="10"/>
      <c r="G15" s="10"/>
    </row>
    <row r="16" spans="1:104" x14ac:dyDescent="0.3">
      <c r="A16" s="11" t="s">
        <v>13</v>
      </c>
      <c r="B16" s="9">
        <v>12860</v>
      </c>
      <c r="C16" s="9">
        <v>153842</v>
      </c>
      <c r="D16" s="9">
        <v>2369918548.5100002</v>
      </c>
      <c r="E16" s="9">
        <v>12691</v>
      </c>
      <c r="F16" s="9">
        <v>92871</v>
      </c>
      <c r="G16" s="9">
        <v>8519070974.8699999</v>
      </c>
    </row>
    <row r="17" spans="1:9" x14ac:dyDescent="0.3">
      <c r="A17" s="6"/>
      <c r="B17" s="10"/>
      <c r="C17" s="10"/>
      <c r="D17" s="10"/>
      <c r="E17" s="10"/>
      <c r="F17" s="10"/>
      <c r="G17" s="10"/>
    </row>
    <row r="18" spans="1:9" x14ac:dyDescent="0.3">
      <c r="A18" s="6" t="s">
        <v>14</v>
      </c>
      <c r="B18" s="10">
        <v>12576</v>
      </c>
      <c r="C18" s="10">
        <v>88560</v>
      </c>
      <c r="D18" s="10">
        <v>1762569059.03</v>
      </c>
      <c r="E18" s="10">
        <v>11998</v>
      </c>
      <c r="F18" s="10">
        <v>71499</v>
      </c>
      <c r="G18" s="10">
        <v>4444412446.21</v>
      </c>
    </row>
    <row r="19" spans="1:9" x14ac:dyDescent="0.3">
      <c r="A19" s="12" t="s">
        <v>15</v>
      </c>
      <c r="B19" s="10">
        <v>0</v>
      </c>
      <c r="C19" s="10">
        <v>21619</v>
      </c>
      <c r="D19" s="10">
        <v>92548905.069999993</v>
      </c>
      <c r="E19" s="10">
        <v>0</v>
      </c>
      <c r="F19" s="10">
        <v>12706</v>
      </c>
      <c r="G19" s="10">
        <v>2323404271.2199998</v>
      </c>
    </row>
    <row r="20" spans="1:9" x14ac:dyDescent="0.3">
      <c r="A20" s="6" t="s">
        <v>16</v>
      </c>
      <c r="B20" s="10">
        <v>0</v>
      </c>
      <c r="C20" s="10">
        <v>0</v>
      </c>
      <c r="D20" s="10">
        <v>35840690.43</v>
      </c>
      <c r="E20" s="10">
        <v>0</v>
      </c>
      <c r="F20" s="10">
        <v>0</v>
      </c>
      <c r="G20" s="10">
        <v>1050246520.78</v>
      </c>
    </row>
    <row r="21" spans="1:9" x14ac:dyDescent="0.3">
      <c r="A21" s="6" t="s">
        <v>17</v>
      </c>
      <c r="B21" s="10">
        <v>284</v>
      </c>
      <c r="C21" s="10">
        <v>43663</v>
      </c>
      <c r="D21" s="10">
        <v>478959893.98000002</v>
      </c>
      <c r="E21" s="10">
        <v>693</v>
      </c>
      <c r="F21" s="10">
        <v>8666</v>
      </c>
      <c r="G21" s="10">
        <v>701007736.65999997</v>
      </c>
    </row>
    <row r="22" spans="1:9" x14ac:dyDescent="0.3">
      <c r="A22" s="6"/>
      <c r="B22" s="10"/>
      <c r="C22" s="10"/>
      <c r="D22" s="10"/>
      <c r="E22" s="10"/>
      <c r="F22" s="10"/>
      <c r="G22" s="10"/>
    </row>
    <row r="23" spans="1:9" x14ac:dyDescent="0.3">
      <c r="A23" s="11" t="s">
        <v>18</v>
      </c>
      <c r="B23" s="9">
        <v>1507</v>
      </c>
      <c r="C23" s="9">
        <v>180420</v>
      </c>
      <c r="D23" s="9">
        <v>1654791455.6799998</v>
      </c>
      <c r="E23" s="9">
        <v>4089</v>
      </c>
      <c r="F23" s="9">
        <v>65687</v>
      </c>
      <c r="G23" s="9">
        <v>6022818199.46</v>
      </c>
    </row>
    <row r="24" spans="1:9" x14ac:dyDescent="0.3">
      <c r="A24" s="6"/>
      <c r="B24" s="10"/>
      <c r="C24" s="10"/>
      <c r="D24" s="10"/>
      <c r="E24" s="10"/>
      <c r="F24" s="10"/>
      <c r="G24" s="10"/>
    </row>
    <row r="25" spans="1:9" x14ac:dyDescent="0.3">
      <c r="A25" s="6" t="s">
        <v>19</v>
      </c>
      <c r="B25" s="10">
        <v>6</v>
      </c>
      <c r="C25" s="10">
        <v>17</v>
      </c>
      <c r="D25" s="10">
        <v>79143.89</v>
      </c>
      <c r="E25" s="10">
        <v>19</v>
      </c>
      <c r="F25" s="10">
        <v>13999</v>
      </c>
      <c r="G25" s="10">
        <v>115637270.09999999</v>
      </c>
    </row>
    <row r="26" spans="1:9" x14ac:dyDescent="0.3">
      <c r="A26" s="6" t="s">
        <v>20</v>
      </c>
      <c r="B26" s="10">
        <v>0</v>
      </c>
      <c r="C26" s="10">
        <v>0</v>
      </c>
      <c r="D26" s="10">
        <v>15866685.82</v>
      </c>
      <c r="E26" s="10">
        <v>0</v>
      </c>
      <c r="F26" s="10">
        <v>0</v>
      </c>
      <c r="G26" s="10">
        <v>300785320.19999999</v>
      </c>
    </row>
    <row r="27" spans="1:9" x14ac:dyDescent="0.3">
      <c r="A27" s="6" t="s">
        <v>21</v>
      </c>
      <c r="B27" s="10">
        <v>987</v>
      </c>
      <c r="C27" s="10">
        <v>64012</v>
      </c>
      <c r="D27" s="10">
        <v>392652169.88999999</v>
      </c>
      <c r="E27" s="10">
        <v>2305</v>
      </c>
      <c r="F27" s="10">
        <v>4611</v>
      </c>
      <c r="G27" s="10">
        <v>1007113798.27</v>
      </c>
    </row>
    <row r="28" spans="1:9" x14ac:dyDescent="0.3">
      <c r="A28" s="6" t="s">
        <v>22</v>
      </c>
      <c r="B28" s="10">
        <v>0</v>
      </c>
      <c r="C28" s="10">
        <v>55622</v>
      </c>
      <c r="D28" s="10">
        <v>331573959.58999997</v>
      </c>
      <c r="E28" s="10">
        <v>0</v>
      </c>
      <c r="F28" s="10">
        <v>3417</v>
      </c>
      <c r="G28" s="10">
        <v>1353323283.4400001</v>
      </c>
      <c r="I28" s="39"/>
    </row>
    <row r="29" spans="1:9" x14ac:dyDescent="0.3">
      <c r="A29" s="6" t="s">
        <v>23</v>
      </c>
      <c r="B29" s="10">
        <v>176</v>
      </c>
      <c r="C29" s="10">
        <v>2270</v>
      </c>
      <c r="D29" s="10">
        <v>139246862.71000001</v>
      </c>
      <c r="E29" s="10">
        <v>288</v>
      </c>
      <c r="F29" s="10">
        <v>11918</v>
      </c>
      <c r="G29" s="10">
        <v>1228285288.05</v>
      </c>
    </row>
    <row r="30" spans="1:9" x14ac:dyDescent="0.3">
      <c r="A30" s="6" t="s">
        <v>24</v>
      </c>
      <c r="B30" s="10">
        <v>325</v>
      </c>
      <c r="C30" s="10">
        <v>17939</v>
      </c>
      <c r="D30" s="10">
        <v>334696790.94</v>
      </c>
      <c r="E30" s="10">
        <v>510</v>
      </c>
      <c r="F30" s="10">
        <v>7992</v>
      </c>
      <c r="G30" s="10">
        <v>518232658.11000001</v>
      </c>
    </row>
    <row r="31" spans="1:9" x14ac:dyDescent="0.3">
      <c r="A31" s="6" t="s">
        <v>25</v>
      </c>
      <c r="B31" s="10">
        <v>0</v>
      </c>
      <c r="C31" s="10">
        <v>0</v>
      </c>
      <c r="D31" s="10">
        <v>0</v>
      </c>
      <c r="E31" s="10">
        <v>0</v>
      </c>
      <c r="F31" s="10">
        <v>0</v>
      </c>
      <c r="G31" s="10">
        <v>0</v>
      </c>
    </row>
    <row r="32" spans="1:9" x14ac:dyDescent="0.3">
      <c r="A32" s="6" t="s">
        <v>17</v>
      </c>
      <c r="B32" s="10">
        <v>13</v>
      </c>
      <c r="C32" s="10">
        <v>40560</v>
      </c>
      <c r="D32" s="10">
        <v>440675842.83999997</v>
      </c>
      <c r="E32" s="10">
        <v>967</v>
      </c>
      <c r="F32" s="10">
        <v>23750</v>
      </c>
      <c r="G32" s="10">
        <v>1499440581.29</v>
      </c>
    </row>
    <row r="33" spans="1:7" x14ac:dyDescent="0.3">
      <c r="A33" s="6"/>
      <c r="B33" s="10"/>
      <c r="C33" s="10"/>
      <c r="D33" s="10"/>
      <c r="E33" s="10"/>
      <c r="F33" s="10"/>
      <c r="G33" s="10"/>
    </row>
    <row r="34" spans="1:7" x14ac:dyDescent="0.3">
      <c r="A34" s="11" t="s">
        <v>26</v>
      </c>
      <c r="B34" s="9">
        <v>13160</v>
      </c>
      <c r="C34" s="9">
        <v>279662</v>
      </c>
      <c r="D34" s="9">
        <v>10459155912.309999</v>
      </c>
      <c r="E34" s="9">
        <v>26474</v>
      </c>
      <c r="F34" s="9">
        <v>158749</v>
      </c>
      <c r="G34" s="9">
        <v>23603533054.990002</v>
      </c>
    </row>
    <row r="35" spans="1:7" ht="13.5" thickBot="1" x14ac:dyDescent="0.35">
      <c r="A35" s="13"/>
      <c r="B35" s="14"/>
      <c r="C35" s="14"/>
      <c r="D35" s="14"/>
      <c r="E35" s="14"/>
      <c r="F35" s="14"/>
      <c r="G35" s="14"/>
    </row>
    <row r="36" spans="1:7" x14ac:dyDescent="0.3">
      <c r="A36" s="15" t="s">
        <v>71</v>
      </c>
    </row>
    <row r="37" spans="1:7" x14ac:dyDescent="0.3">
      <c r="A37" s="15" t="s">
        <v>28</v>
      </c>
      <c r="G37" s="16"/>
    </row>
    <row r="38" spans="1:7" x14ac:dyDescent="0.3">
      <c r="A38" s="15" t="s">
        <v>29</v>
      </c>
    </row>
    <row r="39" spans="1:7" x14ac:dyDescent="0.3">
      <c r="A39" s="15" t="s">
        <v>72</v>
      </c>
    </row>
    <row r="40" spans="1:7" x14ac:dyDescent="0.3">
      <c r="A40" s="15" t="s">
        <v>30</v>
      </c>
      <c r="B40" s="17"/>
      <c r="C40" s="17"/>
      <c r="D40" s="18"/>
      <c r="E40" s="17"/>
      <c r="F40" s="17"/>
      <c r="G40" s="17"/>
    </row>
  </sheetData>
  <mergeCells count="8">
    <mergeCell ref="A10:A12"/>
    <mergeCell ref="B10:D10"/>
    <mergeCell ref="E10:G10"/>
    <mergeCell ref="A3:G3"/>
    <mergeCell ref="A4:G4"/>
    <mergeCell ref="A5:G5"/>
    <mergeCell ref="A6:G6"/>
    <mergeCell ref="A7:G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Z40"/>
  <sheetViews>
    <sheetView workbookViewId="0">
      <selection activeCell="B9" sqref="B9:G11"/>
    </sheetView>
  </sheetViews>
  <sheetFormatPr baseColWidth="10" defaultColWidth="11.453125" defaultRowHeight="13" x14ac:dyDescent="0.3"/>
  <cols>
    <col min="1" max="1" width="45.54296875" style="1" customWidth="1"/>
    <col min="2" max="2" width="8.81640625" style="1" bestFit="1" customWidth="1"/>
    <col min="3" max="3" width="13.7265625" style="1" bestFit="1" customWidth="1"/>
    <col min="4" max="4" width="16.81640625" style="1" customWidth="1"/>
    <col min="5" max="5" width="8.81640625" style="1" bestFit="1" customWidth="1"/>
    <col min="6" max="6" width="13.7265625" style="1" bestFit="1" customWidth="1"/>
    <col min="7" max="7" width="17.26953125" style="1" customWidth="1"/>
    <col min="8" max="8" width="11.453125" style="1"/>
    <col min="9" max="17" width="17.7265625" style="1" customWidth="1"/>
    <col min="18" max="24" width="18.7265625" style="1" customWidth="1"/>
    <col min="25" max="33" width="17.7265625" style="1" customWidth="1"/>
    <col min="34" max="40" width="18.7265625" style="1" customWidth="1"/>
    <col min="41" max="49" width="17.7265625" style="1" customWidth="1"/>
    <col min="50" max="56" width="18.7265625" style="1" customWidth="1"/>
    <col min="57" max="65" width="17.7265625" style="1" customWidth="1"/>
    <col min="66" max="72" width="18.7265625" style="1" customWidth="1"/>
    <col min="73" max="81" width="17.54296875" style="1" customWidth="1"/>
    <col min="82" max="88" width="18.54296875" style="1" customWidth="1"/>
    <col min="89" max="97" width="17.54296875" style="1" bestFit="1" customWidth="1"/>
    <col min="98" max="104" width="18.54296875" style="1" bestFit="1" customWidth="1"/>
    <col min="105" max="256" width="11.453125" style="1"/>
    <col min="257" max="257" width="45.54296875" style="1" customWidth="1"/>
    <col min="258" max="258" width="8.81640625" style="1" bestFit="1" customWidth="1"/>
    <col min="259" max="259" width="13.7265625" style="1" bestFit="1" customWidth="1"/>
    <col min="260" max="260" width="16.81640625" style="1" customWidth="1"/>
    <col min="261" max="261" width="8.81640625" style="1" bestFit="1" customWidth="1"/>
    <col min="262" max="262" width="13.7265625" style="1" bestFit="1" customWidth="1"/>
    <col min="263" max="263" width="17.26953125" style="1" customWidth="1"/>
    <col min="264" max="264" width="11.453125" style="1"/>
    <col min="265" max="273" width="17.7265625" style="1" customWidth="1"/>
    <col min="274" max="280" width="18.7265625" style="1" customWidth="1"/>
    <col min="281" max="289" width="17.7265625" style="1" customWidth="1"/>
    <col min="290" max="296" width="18.7265625" style="1" customWidth="1"/>
    <col min="297" max="305" width="17.7265625" style="1" customWidth="1"/>
    <col min="306" max="312" width="18.7265625" style="1" customWidth="1"/>
    <col min="313" max="321" width="17.7265625" style="1" customWidth="1"/>
    <col min="322" max="328" width="18.7265625" style="1" customWidth="1"/>
    <col min="329" max="337" width="17.54296875" style="1" customWidth="1"/>
    <col min="338" max="344" width="18.54296875" style="1" customWidth="1"/>
    <col min="345" max="353" width="17.54296875" style="1" bestFit="1" customWidth="1"/>
    <col min="354" max="360" width="18.54296875" style="1" bestFit="1" customWidth="1"/>
    <col min="361" max="512" width="11.453125" style="1"/>
    <col min="513" max="513" width="45.54296875" style="1" customWidth="1"/>
    <col min="514" max="514" width="8.81640625" style="1" bestFit="1" customWidth="1"/>
    <col min="515" max="515" width="13.7265625" style="1" bestFit="1" customWidth="1"/>
    <col min="516" max="516" width="16.81640625" style="1" customWidth="1"/>
    <col min="517" max="517" width="8.81640625" style="1" bestFit="1" customWidth="1"/>
    <col min="518" max="518" width="13.7265625" style="1" bestFit="1" customWidth="1"/>
    <col min="519" max="519" width="17.26953125" style="1" customWidth="1"/>
    <col min="520" max="520" width="11.453125" style="1"/>
    <col min="521" max="529" width="17.7265625" style="1" customWidth="1"/>
    <col min="530" max="536" width="18.7265625" style="1" customWidth="1"/>
    <col min="537" max="545" width="17.7265625" style="1" customWidth="1"/>
    <col min="546" max="552" width="18.7265625" style="1" customWidth="1"/>
    <col min="553" max="561" width="17.7265625" style="1" customWidth="1"/>
    <col min="562" max="568" width="18.7265625" style="1" customWidth="1"/>
    <col min="569" max="577" width="17.7265625" style="1" customWidth="1"/>
    <col min="578" max="584" width="18.7265625" style="1" customWidth="1"/>
    <col min="585" max="593" width="17.54296875" style="1" customWidth="1"/>
    <col min="594" max="600" width="18.54296875" style="1" customWidth="1"/>
    <col min="601" max="609" width="17.54296875" style="1" bestFit="1" customWidth="1"/>
    <col min="610" max="616" width="18.54296875" style="1" bestFit="1" customWidth="1"/>
    <col min="617" max="768" width="11.453125" style="1"/>
    <col min="769" max="769" width="45.54296875" style="1" customWidth="1"/>
    <col min="770" max="770" width="8.81640625" style="1" bestFit="1" customWidth="1"/>
    <col min="771" max="771" width="13.7265625" style="1" bestFit="1" customWidth="1"/>
    <col min="772" max="772" width="16.81640625" style="1" customWidth="1"/>
    <col min="773" max="773" width="8.81640625" style="1" bestFit="1" customWidth="1"/>
    <col min="774" max="774" width="13.7265625" style="1" bestFit="1" customWidth="1"/>
    <col min="775" max="775" width="17.26953125" style="1" customWidth="1"/>
    <col min="776" max="776" width="11.453125" style="1"/>
    <col min="777" max="785" width="17.7265625" style="1" customWidth="1"/>
    <col min="786" max="792" width="18.7265625" style="1" customWidth="1"/>
    <col min="793" max="801" width="17.7265625" style="1" customWidth="1"/>
    <col min="802" max="808" width="18.7265625" style="1" customWidth="1"/>
    <col min="809" max="817" width="17.7265625" style="1" customWidth="1"/>
    <col min="818" max="824" width="18.7265625" style="1" customWidth="1"/>
    <col min="825" max="833" width="17.7265625" style="1" customWidth="1"/>
    <col min="834" max="840" width="18.7265625" style="1" customWidth="1"/>
    <col min="841" max="849" width="17.54296875" style="1" customWidth="1"/>
    <col min="850" max="856" width="18.54296875" style="1" customWidth="1"/>
    <col min="857" max="865" width="17.54296875" style="1" bestFit="1" customWidth="1"/>
    <col min="866" max="872" width="18.54296875" style="1" bestFit="1" customWidth="1"/>
    <col min="873" max="1024" width="11.453125" style="1"/>
    <col min="1025" max="1025" width="45.54296875" style="1" customWidth="1"/>
    <col min="1026" max="1026" width="8.81640625" style="1" bestFit="1" customWidth="1"/>
    <col min="1027" max="1027" width="13.7265625" style="1" bestFit="1" customWidth="1"/>
    <col min="1028" max="1028" width="16.81640625" style="1" customWidth="1"/>
    <col min="1029" max="1029" width="8.81640625" style="1" bestFit="1" customWidth="1"/>
    <col min="1030" max="1030" width="13.7265625" style="1" bestFit="1" customWidth="1"/>
    <col min="1031" max="1031" width="17.26953125" style="1" customWidth="1"/>
    <col min="1032" max="1032" width="11.453125" style="1"/>
    <col min="1033" max="1041" width="17.7265625" style="1" customWidth="1"/>
    <col min="1042" max="1048" width="18.7265625" style="1" customWidth="1"/>
    <col min="1049" max="1057" width="17.7265625" style="1" customWidth="1"/>
    <col min="1058" max="1064" width="18.7265625" style="1" customWidth="1"/>
    <col min="1065" max="1073" width="17.7265625" style="1" customWidth="1"/>
    <col min="1074" max="1080" width="18.7265625" style="1" customWidth="1"/>
    <col min="1081" max="1089" width="17.7265625" style="1" customWidth="1"/>
    <col min="1090" max="1096" width="18.7265625" style="1" customWidth="1"/>
    <col min="1097" max="1105" width="17.54296875" style="1" customWidth="1"/>
    <col min="1106" max="1112" width="18.54296875" style="1" customWidth="1"/>
    <col min="1113" max="1121" width="17.54296875" style="1" bestFit="1" customWidth="1"/>
    <col min="1122" max="1128" width="18.54296875" style="1" bestFit="1" customWidth="1"/>
    <col min="1129" max="1280" width="11.453125" style="1"/>
    <col min="1281" max="1281" width="45.54296875" style="1" customWidth="1"/>
    <col min="1282" max="1282" width="8.81640625" style="1" bestFit="1" customWidth="1"/>
    <col min="1283" max="1283" width="13.7265625" style="1" bestFit="1" customWidth="1"/>
    <col min="1284" max="1284" width="16.81640625" style="1" customWidth="1"/>
    <col min="1285" max="1285" width="8.81640625" style="1" bestFit="1" customWidth="1"/>
    <col min="1286" max="1286" width="13.7265625" style="1" bestFit="1" customWidth="1"/>
    <col min="1287" max="1287" width="17.26953125" style="1" customWidth="1"/>
    <col min="1288" max="1288" width="11.453125" style="1"/>
    <col min="1289" max="1297" width="17.7265625" style="1" customWidth="1"/>
    <col min="1298" max="1304" width="18.7265625" style="1" customWidth="1"/>
    <col min="1305" max="1313" width="17.7265625" style="1" customWidth="1"/>
    <col min="1314" max="1320" width="18.7265625" style="1" customWidth="1"/>
    <col min="1321" max="1329" width="17.7265625" style="1" customWidth="1"/>
    <col min="1330" max="1336" width="18.7265625" style="1" customWidth="1"/>
    <col min="1337" max="1345" width="17.7265625" style="1" customWidth="1"/>
    <col min="1346" max="1352" width="18.7265625" style="1" customWidth="1"/>
    <col min="1353" max="1361" width="17.54296875" style="1" customWidth="1"/>
    <col min="1362" max="1368" width="18.54296875" style="1" customWidth="1"/>
    <col min="1369" max="1377" width="17.54296875" style="1" bestFit="1" customWidth="1"/>
    <col min="1378" max="1384" width="18.54296875" style="1" bestFit="1" customWidth="1"/>
    <col min="1385" max="1536" width="11.453125" style="1"/>
    <col min="1537" max="1537" width="45.54296875" style="1" customWidth="1"/>
    <col min="1538" max="1538" width="8.81640625" style="1" bestFit="1" customWidth="1"/>
    <col min="1539" max="1539" width="13.7265625" style="1" bestFit="1" customWidth="1"/>
    <col min="1540" max="1540" width="16.81640625" style="1" customWidth="1"/>
    <col min="1541" max="1541" width="8.81640625" style="1" bestFit="1" customWidth="1"/>
    <col min="1542" max="1542" width="13.7265625" style="1" bestFit="1" customWidth="1"/>
    <col min="1543" max="1543" width="17.26953125" style="1" customWidth="1"/>
    <col min="1544" max="1544" width="11.453125" style="1"/>
    <col min="1545" max="1553" width="17.7265625" style="1" customWidth="1"/>
    <col min="1554" max="1560" width="18.7265625" style="1" customWidth="1"/>
    <col min="1561" max="1569" width="17.7265625" style="1" customWidth="1"/>
    <col min="1570" max="1576" width="18.7265625" style="1" customWidth="1"/>
    <col min="1577" max="1585" width="17.7265625" style="1" customWidth="1"/>
    <col min="1586" max="1592" width="18.7265625" style="1" customWidth="1"/>
    <col min="1593" max="1601" width="17.7265625" style="1" customWidth="1"/>
    <col min="1602" max="1608" width="18.7265625" style="1" customWidth="1"/>
    <col min="1609" max="1617" width="17.54296875" style="1" customWidth="1"/>
    <col min="1618" max="1624" width="18.54296875" style="1" customWidth="1"/>
    <col min="1625" max="1633" width="17.54296875" style="1" bestFit="1" customWidth="1"/>
    <col min="1634" max="1640" width="18.54296875" style="1" bestFit="1" customWidth="1"/>
    <col min="1641" max="1792" width="11.453125" style="1"/>
    <col min="1793" max="1793" width="45.54296875" style="1" customWidth="1"/>
    <col min="1794" max="1794" width="8.81640625" style="1" bestFit="1" customWidth="1"/>
    <col min="1795" max="1795" width="13.7265625" style="1" bestFit="1" customWidth="1"/>
    <col min="1796" max="1796" width="16.81640625" style="1" customWidth="1"/>
    <col min="1797" max="1797" width="8.81640625" style="1" bestFit="1" customWidth="1"/>
    <col min="1798" max="1798" width="13.7265625" style="1" bestFit="1" customWidth="1"/>
    <col min="1799" max="1799" width="17.26953125" style="1" customWidth="1"/>
    <col min="1800" max="1800" width="11.453125" style="1"/>
    <col min="1801" max="1809" width="17.7265625" style="1" customWidth="1"/>
    <col min="1810" max="1816" width="18.7265625" style="1" customWidth="1"/>
    <col min="1817" max="1825" width="17.7265625" style="1" customWidth="1"/>
    <col min="1826" max="1832" width="18.7265625" style="1" customWidth="1"/>
    <col min="1833" max="1841" width="17.7265625" style="1" customWidth="1"/>
    <col min="1842" max="1848" width="18.7265625" style="1" customWidth="1"/>
    <col min="1849" max="1857" width="17.7265625" style="1" customWidth="1"/>
    <col min="1858" max="1864" width="18.7265625" style="1" customWidth="1"/>
    <col min="1865" max="1873" width="17.54296875" style="1" customWidth="1"/>
    <col min="1874" max="1880" width="18.54296875" style="1" customWidth="1"/>
    <col min="1881" max="1889" width="17.54296875" style="1" bestFit="1" customWidth="1"/>
    <col min="1890" max="1896" width="18.54296875" style="1" bestFit="1" customWidth="1"/>
    <col min="1897" max="2048" width="11.453125" style="1"/>
    <col min="2049" max="2049" width="45.54296875" style="1" customWidth="1"/>
    <col min="2050" max="2050" width="8.81640625" style="1" bestFit="1" customWidth="1"/>
    <col min="2051" max="2051" width="13.7265625" style="1" bestFit="1" customWidth="1"/>
    <col min="2052" max="2052" width="16.81640625" style="1" customWidth="1"/>
    <col min="2053" max="2053" width="8.81640625" style="1" bestFit="1" customWidth="1"/>
    <col min="2054" max="2054" width="13.7265625" style="1" bestFit="1" customWidth="1"/>
    <col min="2055" max="2055" width="17.26953125" style="1" customWidth="1"/>
    <col min="2056" max="2056" width="11.453125" style="1"/>
    <col min="2057" max="2065" width="17.7265625" style="1" customWidth="1"/>
    <col min="2066" max="2072" width="18.7265625" style="1" customWidth="1"/>
    <col min="2073" max="2081" width="17.7265625" style="1" customWidth="1"/>
    <col min="2082" max="2088" width="18.7265625" style="1" customWidth="1"/>
    <col min="2089" max="2097" width="17.7265625" style="1" customWidth="1"/>
    <col min="2098" max="2104" width="18.7265625" style="1" customWidth="1"/>
    <col min="2105" max="2113" width="17.7265625" style="1" customWidth="1"/>
    <col min="2114" max="2120" width="18.7265625" style="1" customWidth="1"/>
    <col min="2121" max="2129" width="17.54296875" style="1" customWidth="1"/>
    <col min="2130" max="2136" width="18.54296875" style="1" customWidth="1"/>
    <col min="2137" max="2145" width="17.54296875" style="1" bestFit="1" customWidth="1"/>
    <col min="2146" max="2152" width="18.54296875" style="1" bestFit="1" customWidth="1"/>
    <col min="2153" max="2304" width="11.453125" style="1"/>
    <col min="2305" max="2305" width="45.54296875" style="1" customWidth="1"/>
    <col min="2306" max="2306" width="8.81640625" style="1" bestFit="1" customWidth="1"/>
    <col min="2307" max="2307" width="13.7265625" style="1" bestFit="1" customWidth="1"/>
    <col min="2308" max="2308" width="16.81640625" style="1" customWidth="1"/>
    <col min="2309" max="2309" width="8.81640625" style="1" bestFit="1" customWidth="1"/>
    <col min="2310" max="2310" width="13.7265625" style="1" bestFit="1" customWidth="1"/>
    <col min="2311" max="2311" width="17.26953125" style="1" customWidth="1"/>
    <col min="2312" max="2312" width="11.453125" style="1"/>
    <col min="2313" max="2321" width="17.7265625" style="1" customWidth="1"/>
    <col min="2322" max="2328" width="18.7265625" style="1" customWidth="1"/>
    <col min="2329" max="2337" width="17.7265625" style="1" customWidth="1"/>
    <col min="2338" max="2344" width="18.7265625" style="1" customWidth="1"/>
    <col min="2345" max="2353" width="17.7265625" style="1" customWidth="1"/>
    <col min="2354" max="2360" width="18.7265625" style="1" customWidth="1"/>
    <col min="2361" max="2369" width="17.7265625" style="1" customWidth="1"/>
    <col min="2370" max="2376" width="18.7265625" style="1" customWidth="1"/>
    <col min="2377" max="2385" width="17.54296875" style="1" customWidth="1"/>
    <col min="2386" max="2392" width="18.54296875" style="1" customWidth="1"/>
    <col min="2393" max="2401" width="17.54296875" style="1" bestFit="1" customWidth="1"/>
    <col min="2402" max="2408" width="18.54296875" style="1" bestFit="1" customWidth="1"/>
    <col min="2409" max="2560" width="11.453125" style="1"/>
    <col min="2561" max="2561" width="45.54296875" style="1" customWidth="1"/>
    <col min="2562" max="2562" width="8.81640625" style="1" bestFit="1" customWidth="1"/>
    <col min="2563" max="2563" width="13.7265625" style="1" bestFit="1" customWidth="1"/>
    <col min="2564" max="2564" width="16.81640625" style="1" customWidth="1"/>
    <col min="2565" max="2565" width="8.81640625" style="1" bestFit="1" customWidth="1"/>
    <col min="2566" max="2566" width="13.7265625" style="1" bestFit="1" customWidth="1"/>
    <col min="2567" max="2567" width="17.26953125" style="1" customWidth="1"/>
    <col min="2568" max="2568" width="11.453125" style="1"/>
    <col min="2569" max="2577" width="17.7265625" style="1" customWidth="1"/>
    <col min="2578" max="2584" width="18.7265625" style="1" customWidth="1"/>
    <col min="2585" max="2593" width="17.7265625" style="1" customWidth="1"/>
    <col min="2594" max="2600" width="18.7265625" style="1" customWidth="1"/>
    <col min="2601" max="2609" width="17.7265625" style="1" customWidth="1"/>
    <col min="2610" max="2616" width="18.7265625" style="1" customWidth="1"/>
    <col min="2617" max="2625" width="17.7265625" style="1" customWidth="1"/>
    <col min="2626" max="2632" width="18.7265625" style="1" customWidth="1"/>
    <col min="2633" max="2641" width="17.54296875" style="1" customWidth="1"/>
    <col min="2642" max="2648" width="18.54296875" style="1" customWidth="1"/>
    <col min="2649" max="2657" width="17.54296875" style="1" bestFit="1" customWidth="1"/>
    <col min="2658" max="2664" width="18.54296875" style="1" bestFit="1" customWidth="1"/>
    <col min="2665" max="2816" width="11.453125" style="1"/>
    <col min="2817" max="2817" width="45.54296875" style="1" customWidth="1"/>
    <col min="2818" max="2818" width="8.81640625" style="1" bestFit="1" customWidth="1"/>
    <col min="2819" max="2819" width="13.7265625" style="1" bestFit="1" customWidth="1"/>
    <col min="2820" max="2820" width="16.81640625" style="1" customWidth="1"/>
    <col min="2821" max="2821" width="8.81640625" style="1" bestFit="1" customWidth="1"/>
    <col min="2822" max="2822" width="13.7265625" style="1" bestFit="1" customWidth="1"/>
    <col min="2823" max="2823" width="17.26953125" style="1" customWidth="1"/>
    <col min="2824" max="2824" width="11.453125" style="1"/>
    <col min="2825" max="2833" width="17.7265625" style="1" customWidth="1"/>
    <col min="2834" max="2840" width="18.7265625" style="1" customWidth="1"/>
    <col min="2841" max="2849" width="17.7265625" style="1" customWidth="1"/>
    <col min="2850" max="2856" width="18.7265625" style="1" customWidth="1"/>
    <col min="2857" max="2865" width="17.7265625" style="1" customWidth="1"/>
    <col min="2866" max="2872" width="18.7265625" style="1" customWidth="1"/>
    <col min="2873" max="2881" width="17.7265625" style="1" customWidth="1"/>
    <col min="2882" max="2888" width="18.7265625" style="1" customWidth="1"/>
    <col min="2889" max="2897" width="17.54296875" style="1" customWidth="1"/>
    <col min="2898" max="2904" width="18.54296875" style="1" customWidth="1"/>
    <col min="2905" max="2913" width="17.54296875" style="1" bestFit="1" customWidth="1"/>
    <col min="2914" max="2920" width="18.54296875" style="1" bestFit="1" customWidth="1"/>
    <col min="2921" max="3072" width="11.453125" style="1"/>
    <col min="3073" max="3073" width="45.54296875" style="1" customWidth="1"/>
    <col min="3074" max="3074" width="8.81640625" style="1" bestFit="1" customWidth="1"/>
    <col min="3075" max="3075" width="13.7265625" style="1" bestFit="1" customWidth="1"/>
    <col min="3076" max="3076" width="16.81640625" style="1" customWidth="1"/>
    <col min="3077" max="3077" width="8.81640625" style="1" bestFit="1" customWidth="1"/>
    <col min="3078" max="3078" width="13.7265625" style="1" bestFit="1" customWidth="1"/>
    <col min="3079" max="3079" width="17.26953125" style="1" customWidth="1"/>
    <col min="3080" max="3080" width="11.453125" style="1"/>
    <col min="3081" max="3089" width="17.7265625" style="1" customWidth="1"/>
    <col min="3090" max="3096" width="18.7265625" style="1" customWidth="1"/>
    <col min="3097" max="3105" width="17.7265625" style="1" customWidth="1"/>
    <col min="3106" max="3112" width="18.7265625" style="1" customWidth="1"/>
    <col min="3113" max="3121" width="17.7265625" style="1" customWidth="1"/>
    <col min="3122" max="3128" width="18.7265625" style="1" customWidth="1"/>
    <col min="3129" max="3137" width="17.7265625" style="1" customWidth="1"/>
    <col min="3138" max="3144" width="18.7265625" style="1" customWidth="1"/>
    <col min="3145" max="3153" width="17.54296875" style="1" customWidth="1"/>
    <col min="3154" max="3160" width="18.54296875" style="1" customWidth="1"/>
    <col min="3161" max="3169" width="17.54296875" style="1" bestFit="1" customWidth="1"/>
    <col min="3170" max="3176" width="18.54296875" style="1" bestFit="1" customWidth="1"/>
    <col min="3177" max="3328" width="11.453125" style="1"/>
    <col min="3329" max="3329" width="45.54296875" style="1" customWidth="1"/>
    <col min="3330" max="3330" width="8.81640625" style="1" bestFit="1" customWidth="1"/>
    <col min="3331" max="3331" width="13.7265625" style="1" bestFit="1" customWidth="1"/>
    <col min="3332" max="3332" width="16.81640625" style="1" customWidth="1"/>
    <col min="3333" max="3333" width="8.81640625" style="1" bestFit="1" customWidth="1"/>
    <col min="3334" max="3334" width="13.7265625" style="1" bestFit="1" customWidth="1"/>
    <col min="3335" max="3335" width="17.26953125" style="1" customWidth="1"/>
    <col min="3336" max="3336" width="11.453125" style="1"/>
    <col min="3337" max="3345" width="17.7265625" style="1" customWidth="1"/>
    <col min="3346" max="3352" width="18.7265625" style="1" customWidth="1"/>
    <col min="3353" max="3361" width="17.7265625" style="1" customWidth="1"/>
    <col min="3362" max="3368" width="18.7265625" style="1" customWidth="1"/>
    <col min="3369" max="3377" width="17.7265625" style="1" customWidth="1"/>
    <col min="3378" max="3384" width="18.7265625" style="1" customWidth="1"/>
    <col min="3385" max="3393" width="17.7265625" style="1" customWidth="1"/>
    <col min="3394" max="3400" width="18.7265625" style="1" customWidth="1"/>
    <col min="3401" max="3409" width="17.54296875" style="1" customWidth="1"/>
    <col min="3410" max="3416" width="18.54296875" style="1" customWidth="1"/>
    <col min="3417" max="3425" width="17.54296875" style="1" bestFit="1" customWidth="1"/>
    <col min="3426" max="3432" width="18.54296875" style="1" bestFit="1" customWidth="1"/>
    <col min="3433" max="3584" width="11.453125" style="1"/>
    <col min="3585" max="3585" width="45.54296875" style="1" customWidth="1"/>
    <col min="3586" max="3586" width="8.81640625" style="1" bestFit="1" customWidth="1"/>
    <col min="3587" max="3587" width="13.7265625" style="1" bestFit="1" customWidth="1"/>
    <col min="3588" max="3588" width="16.81640625" style="1" customWidth="1"/>
    <col min="3589" max="3589" width="8.81640625" style="1" bestFit="1" customWidth="1"/>
    <col min="3590" max="3590" width="13.7265625" style="1" bestFit="1" customWidth="1"/>
    <col min="3591" max="3591" width="17.26953125" style="1" customWidth="1"/>
    <col min="3592" max="3592" width="11.453125" style="1"/>
    <col min="3593" max="3601" width="17.7265625" style="1" customWidth="1"/>
    <col min="3602" max="3608" width="18.7265625" style="1" customWidth="1"/>
    <col min="3609" max="3617" width="17.7265625" style="1" customWidth="1"/>
    <col min="3618" max="3624" width="18.7265625" style="1" customWidth="1"/>
    <col min="3625" max="3633" width="17.7265625" style="1" customWidth="1"/>
    <col min="3634" max="3640" width="18.7265625" style="1" customWidth="1"/>
    <col min="3641" max="3649" width="17.7265625" style="1" customWidth="1"/>
    <col min="3650" max="3656" width="18.7265625" style="1" customWidth="1"/>
    <col min="3657" max="3665" width="17.54296875" style="1" customWidth="1"/>
    <col min="3666" max="3672" width="18.54296875" style="1" customWidth="1"/>
    <col min="3673" max="3681" width="17.54296875" style="1" bestFit="1" customWidth="1"/>
    <col min="3682" max="3688" width="18.54296875" style="1" bestFit="1" customWidth="1"/>
    <col min="3689" max="3840" width="11.453125" style="1"/>
    <col min="3841" max="3841" width="45.54296875" style="1" customWidth="1"/>
    <col min="3842" max="3842" width="8.81640625" style="1" bestFit="1" customWidth="1"/>
    <col min="3843" max="3843" width="13.7265625" style="1" bestFit="1" customWidth="1"/>
    <col min="3844" max="3844" width="16.81640625" style="1" customWidth="1"/>
    <col min="3845" max="3845" width="8.81640625" style="1" bestFit="1" customWidth="1"/>
    <col min="3846" max="3846" width="13.7265625" style="1" bestFit="1" customWidth="1"/>
    <col min="3847" max="3847" width="17.26953125" style="1" customWidth="1"/>
    <col min="3848" max="3848" width="11.453125" style="1"/>
    <col min="3849" max="3857" width="17.7265625" style="1" customWidth="1"/>
    <col min="3858" max="3864" width="18.7265625" style="1" customWidth="1"/>
    <col min="3865" max="3873" width="17.7265625" style="1" customWidth="1"/>
    <col min="3874" max="3880" width="18.7265625" style="1" customWidth="1"/>
    <col min="3881" max="3889" width="17.7265625" style="1" customWidth="1"/>
    <col min="3890" max="3896" width="18.7265625" style="1" customWidth="1"/>
    <col min="3897" max="3905" width="17.7265625" style="1" customWidth="1"/>
    <col min="3906" max="3912" width="18.7265625" style="1" customWidth="1"/>
    <col min="3913" max="3921" width="17.54296875" style="1" customWidth="1"/>
    <col min="3922" max="3928" width="18.54296875" style="1" customWidth="1"/>
    <col min="3929" max="3937" width="17.54296875" style="1" bestFit="1" customWidth="1"/>
    <col min="3938" max="3944" width="18.54296875" style="1" bestFit="1" customWidth="1"/>
    <col min="3945" max="4096" width="11.453125" style="1"/>
    <col min="4097" max="4097" width="45.54296875" style="1" customWidth="1"/>
    <col min="4098" max="4098" width="8.81640625" style="1" bestFit="1" customWidth="1"/>
    <col min="4099" max="4099" width="13.7265625" style="1" bestFit="1" customWidth="1"/>
    <col min="4100" max="4100" width="16.81640625" style="1" customWidth="1"/>
    <col min="4101" max="4101" width="8.81640625" style="1" bestFit="1" customWidth="1"/>
    <col min="4102" max="4102" width="13.7265625" style="1" bestFit="1" customWidth="1"/>
    <col min="4103" max="4103" width="17.26953125" style="1" customWidth="1"/>
    <col min="4104" max="4104" width="11.453125" style="1"/>
    <col min="4105" max="4113" width="17.7265625" style="1" customWidth="1"/>
    <col min="4114" max="4120" width="18.7265625" style="1" customWidth="1"/>
    <col min="4121" max="4129" width="17.7265625" style="1" customWidth="1"/>
    <col min="4130" max="4136" width="18.7265625" style="1" customWidth="1"/>
    <col min="4137" max="4145" width="17.7265625" style="1" customWidth="1"/>
    <col min="4146" max="4152" width="18.7265625" style="1" customWidth="1"/>
    <col min="4153" max="4161" width="17.7265625" style="1" customWidth="1"/>
    <col min="4162" max="4168" width="18.7265625" style="1" customWidth="1"/>
    <col min="4169" max="4177" width="17.54296875" style="1" customWidth="1"/>
    <col min="4178" max="4184" width="18.54296875" style="1" customWidth="1"/>
    <col min="4185" max="4193" width="17.54296875" style="1" bestFit="1" customWidth="1"/>
    <col min="4194" max="4200" width="18.54296875" style="1" bestFit="1" customWidth="1"/>
    <col min="4201" max="4352" width="11.453125" style="1"/>
    <col min="4353" max="4353" width="45.54296875" style="1" customWidth="1"/>
    <col min="4354" max="4354" width="8.81640625" style="1" bestFit="1" customWidth="1"/>
    <col min="4355" max="4355" width="13.7265625" style="1" bestFit="1" customWidth="1"/>
    <col min="4356" max="4356" width="16.81640625" style="1" customWidth="1"/>
    <col min="4357" max="4357" width="8.81640625" style="1" bestFit="1" customWidth="1"/>
    <col min="4358" max="4358" width="13.7265625" style="1" bestFit="1" customWidth="1"/>
    <col min="4359" max="4359" width="17.26953125" style="1" customWidth="1"/>
    <col min="4360" max="4360" width="11.453125" style="1"/>
    <col min="4361" max="4369" width="17.7265625" style="1" customWidth="1"/>
    <col min="4370" max="4376" width="18.7265625" style="1" customWidth="1"/>
    <col min="4377" max="4385" width="17.7265625" style="1" customWidth="1"/>
    <col min="4386" max="4392" width="18.7265625" style="1" customWidth="1"/>
    <col min="4393" max="4401" width="17.7265625" style="1" customWidth="1"/>
    <col min="4402" max="4408" width="18.7265625" style="1" customWidth="1"/>
    <col min="4409" max="4417" width="17.7265625" style="1" customWidth="1"/>
    <col min="4418" max="4424" width="18.7265625" style="1" customWidth="1"/>
    <col min="4425" max="4433" width="17.54296875" style="1" customWidth="1"/>
    <col min="4434" max="4440" width="18.54296875" style="1" customWidth="1"/>
    <col min="4441" max="4449" width="17.54296875" style="1" bestFit="1" customWidth="1"/>
    <col min="4450" max="4456" width="18.54296875" style="1" bestFit="1" customWidth="1"/>
    <col min="4457" max="4608" width="11.453125" style="1"/>
    <col min="4609" max="4609" width="45.54296875" style="1" customWidth="1"/>
    <col min="4610" max="4610" width="8.81640625" style="1" bestFit="1" customWidth="1"/>
    <col min="4611" max="4611" width="13.7265625" style="1" bestFit="1" customWidth="1"/>
    <col min="4612" max="4612" width="16.81640625" style="1" customWidth="1"/>
    <col min="4613" max="4613" width="8.81640625" style="1" bestFit="1" customWidth="1"/>
    <col min="4614" max="4614" width="13.7265625" style="1" bestFit="1" customWidth="1"/>
    <col min="4615" max="4615" width="17.26953125" style="1" customWidth="1"/>
    <col min="4616" max="4616" width="11.453125" style="1"/>
    <col min="4617" max="4625" width="17.7265625" style="1" customWidth="1"/>
    <col min="4626" max="4632" width="18.7265625" style="1" customWidth="1"/>
    <col min="4633" max="4641" width="17.7265625" style="1" customWidth="1"/>
    <col min="4642" max="4648" width="18.7265625" style="1" customWidth="1"/>
    <col min="4649" max="4657" width="17.7265625" style="1" customWidth="1"/>
    <col min="4658" max="4664" width="18.7265625" style="1" customWidth="1"/>
    <col min="4665" max="4673" width="17.7265625" style="1" customWidth="1"/>
    <col min="4674" max="4680" width="18.7265625" style="1" customWidth="1"/>
    <col min="4681" max="4689" width="17.54296875" style="1" customWidth="1"/>
    <col min="4690" max="4696" width="18.54296875" style="1" customWidth="1"/>
    <col min="4697" max="4705" width="17.54296875" style="1" bestFit="1" customWidth="1"/>
    <col min="4706" max="4712" width="18.54296875" style="1" bestFit="1" customWidth="1"/>
    <col min="4713" max="4864" width="11.453125" style="1"/>
    <col min="4865" max="4865" width="45.54296875" style="1" customWidth="1"/>
    <col min="4866" max="4866" width="8.81640625" style="1" bestFit="1" customWidth="1"/>
    <col min="4867" max="4867" width="13.7265625" style="1" bestFit="1" customWidth="1"/>
    <col min="4868" max="4868" width="16.81640625" style="1" customWidth="1"/>
    <col min="4869" max="4869" width="8.81640625" style="1" bestFit="1" customWidth="1"/>
    <col min="4870" max="4870" width="13.7265625" style="1" bestFit="1" customWidth="1"/>
    <col min="4871" max="4871" width="17.26953125" style="1" customWidth="1"/>
    <col min="4872" max="4872" width="11.453125" style="1"/>
    <col min="4873" max="4881" width="17.7265625" style="1" customWidth="1"/>
    <col min="4882" max="4888" width="18.7265625" style="1" customWidth="1"/>
    <col min="4889" max="4897" width="17.7265625" style="1" customWidth="1"/>
    <col min="4898" max="4904" width="18.7265625" style="1" customWidth="1"/>
    <col min="4905" max="4913" width="17.7265625" style="1" customWidth="1"/>
    <col min="4914" max="4920" width="18.7265625" style="1" customWidth="1"/>
    <col min="4921" max="4929" width="17.7265625" style="1" customWidth="1"/>
    <col min="4930" max="4936" width="18.7265625" style="1" customWidth="1"/>
    <col min="4937" max="4945" width="17.54296875" style="1" customWidth="1"/>
    <col min="4946" max="4952" width="18.54296875" style="1" customWidth="1"/>
    <col min="4953" max="4961" width="17.54296875" style="1" bestFit="1" customWidth="1"/>
    <col min="4962" max="4968" width="18.54296875" style="1" bestFit="1" customWidth="1"/>
    <col min="4969" max="5120" width="11.453125" style="1"/>
    <col min="5121" max="5121" width="45.54296875" style="1" customWidth="1"/>
    <col min="5122" max="5122" width="8.81640625" style="1" bestFit="1" customWidth="1"/>
    <col min="5123" max="5123" width="13.7265625" style="1" bestFit="1" customWidth="1"/>
    <col min="5124" max="5124" width="16.81640625" style="1" customWidth="1"/>
    <col min="5125" max="5125" width="8.81640625" style="1" bestFit="1" customWidth="1"/>
    <col min="5126" max="5126" width="13.7265625" style="1" bestFit="1" customWidth="1"/>
    <col min="5127" max="5127" width="17.26953125" style="1" customWidth="1"/>
    <col min="5128" max="5128" width="11.453125" style="1"/>
    <col min="5129" max="5137" width="17.7265625" style="1" customWidth="1"/>
    <col min="5138" max="5144" width="18.7265625" style="1" customWidth="1"/>
    <col min="5145" max="5153" width="17.7265625" style="1" customWidth="1"/>
    <col min="5154" max="5160" width="18.7265625" style="1" customWidth="1"/>
    <col min="5161" max="5169" width="17.7265625" style="1" customWidth="1"/>
    <col min="5170" max="5176" width="18.7265625" style="1" customWidth="1"/>
    <col min="5177" max="5185" width="17.7265625" style="1" customWidth="1"/>
    <col min="5186" max="5192" width="18.7265625" style="1" customWidth="1"/>
    <col min="5193" max="5201" width="17.54296875" style="1" customWidth="1"/>
    <col min="5202" max="5208" width="18.54296875" style="1" customWidth="1"/>
    <col min="5209" max="5217" width="17.54296875" style="1" bestFit="1" customWidth="1"/>
    <col min="5218" max="5224" width="18.54296875" style="1" bestFit="1" customWidth="1"/>
    <col min="5225" max="5376" width="11.453125" style="1"/>
    <col min="5377" max="5377" width="45.54296875" style="1" customWidth="1"/>
    <col min="5378" max="5378" width="8.81640625" style="1" bestFit="1" customWidth="1"/>
    <col min="5379" max="5379" width="13.7265625" style="1" bestFit="1" customWidth="1"/>
    <col min="5380" max="5380" width="16.81640625" style="1" customWidth="1"/>
    <col min="5381" max="5381" width="8.81640625" style="1" bestFit="1" customWidth="1"/>
    <col min="5382" max="5382" width="13.7265625" style="1" bestFit="1" customWidth="1"/>
    <col min="5383" max="5383" width="17.26953125" style="1" customWidth="1"/>
    <col min="5384" max="5384" width="11.453125" style="1"/>
    <col min="5385" max="5393" width="17.7265625" style="1" customWidth="1"/>
    <col min="5394" max="5400" width="18.7265625" style="1" customWidth="1"/>
    <col min="5401" max="5409" width="17.7265625" style="1" customWidth="1"/>
    <col min="5410" max="5416" width="18.7265625" style="1" customWidth="1"/>
    <col min="5417" max="5425" width="17.7265625" style="1" customWidth="1"/>
    <col min="5426" max="5432" width="18.7265625" style="1" customWidth="1"/>
    <col min="5433" max="5441" width="17.7265625" style="1" customWidth="1"/>
    <col min="5442" max="5448" width="18.7265625" style="1" customWidth="1"/>
    <col min="5449" max="5457" width="17.54296875" style="1" customWidth="1"/>
    <col min="5458" max="5464" width="18.54296875" style="1" customWidth="1"/>
    <col min="5465" max="5473" width="17.54296875" style="1" bestFit="1" customWidth="1"/>
    <col min="5474" max="5480" width="18.54296875" style="1" bestFit="1" customWidth="1"/>
    <col min="5481" max="5632" width="11.453125" style="1"/>
    <col min="5633" max="5633" width="45.54296875" style="1" customWidth="1"/>
    <col min="5634" max="5634" width="8.81640625" style="1" bestFit="1" customWidth="1"/>
    <col min="5635" max="5635" width="13.7265625" style="1" bestFit="1" customWidth="1"/>
    <col min="5636" max="5636" width="16.81640625" style="1" customWidth="1"/>
    <col min="5637" max="5637" width="8.81640625" style="1" bestFit="1" customWidth="1"/>
    <col min="5638" max="5638" width="13.7265625" style="1" bestFit="1" customWidth="1"/>
    <col min="5639" max="5639" width="17.26953125" style="1" customWidth="1"/>
    <col min="5640" max="5640" width="11.453125" style="1"/>
    <col min="5641" max="5649" width="17.7265625" style="1" customWidth="1"/>
    <col min="5650" max="5656" width="18.7265625" style="1" customWidth="1"/>
    <col min="5657" max="5665" width="17.7265625" style="1" customWidth="1"/>
    <col min="5666" max="5672" width="18.7265625" style="1" customWidth="1"/>
    <col min="5673" max="5681" width="17.7265625" style="1" customWidth="1"/>
    <col min="5682" max="5688" width="18.7265625" style="1" customWidth="1"/>
    <col min="5689" max="5697" width="17.7265625" style="1" customWidth="1"/>
    <col min="5698" max="5704" width="18.7265625" style="1" customWidth="1"/>
    <col min="5705" max="5713" width="17.54296875" style="1" customWidth="1"/>
    <col min="5714" max="5720" width="18.54296875" style="1" customWidth="1"/>
    <col min="5721" max="5729" width="17.54296875" style="1" bestFit="1" customWidth="1"/>
    <col min="5730" max="5736" width="18.54296875" style="1" bestFit="1" customWidth="1"/>
    <col min="5737" max="5888" width="11.453125" style="1"/>
    <col min="5889" max="5889" width="45.54296875" style="1" customWidth="1"/>
    <col min="5890" max="5890" width="8.81640625" style="1" bestFit="1" customWidth="1"/>
    <col min="5891" max="5891" width="13.7265625" style="1" bestFit="1" customWidth="1"/>
    <col min="5892" max="5892" width="16.81640625" style="1" customWidth="1"/>
    <col min="5893" max="5893" width="8.81640625" style="1" bestFit="1" customWidth="1"/>
    <col min="5894" max="5894" width="13.7265625" style="1" bestFit="1" customWidth="1"/>
    <col min="5895" max="5895" width="17.26953125" style="1" customWidth="1"/>
    <col min="5896" max="5896" width="11.453125" style="1"/>
    <col min="5897" max="5905" width="17.7265625" style="1" customWidth="1"/>
    <col min="5906" max="5912" width="18.7265625" style="1" customWidth="1"/>
    <col min="5913" max="5921" width="17.7265625" style="1" customWidth="1"/>
    <col min="5922" max="5928" width="18.7265625" style="1" customWidth="1"/>
    <col min="5929" max="5937" width="17.7265625" style="1" customWidth="1"/>
    <col min="5938" max="5944" width="18.7265625" style="1" customWidth="1"/>
    <col min="5945" max="5953" width="17.7265625" style="1" customWidth="1"/>
    <col min="5954" max="5960" width="18.7265625" style="1" customWidth="1"/>
    <col min="5961" max="5969" width="17.54296875" style="1" customWidth="1"/>
    <col min="5970" max="5976" width="18.54296875" style="1" customWidth="1"/>
    <col min="5977" max="5985" width="17.54296875" style="1" bestFit="1" customWidth="1"/>
    <col min="5986" max="5992" width="18.54296875" style="1" bestFit="1" customWidth="1"/>
    <col min="5993" max="6144" width="11.453125" style="1"/>
    <col min="6145" max="6145" width="45.54296875" style="1" customWidth="1"/>
    <col min="6146" max="6146" width="8.81640625" style="1" bestFit="1" customWidth="1"/>
    <col min="6147" max="6147" width="13.7265625" style="1" bestFit="1" customWidth="1"/>
    <col min="6148" max="6148" width="16.81640625" style="1" customWidth="1"/>
    <col min="6149" max="6149" width="8.81640625" style="1" bestFit="1" customWidth="1"/>
    <col min="6150" max="6150" width="13.7265625" style="1" bestFit="1" customWidth="1"/>
    <col min="6151" max="6151" width="17.26953125" style="1" customWidth="1"/>
    <col min="6152" max="6152" width="11.453125" style="1"/>
    <col min="6153" max="6161" width="17.7265625" style="1" customWidth="1"/>
    <col min="6162" max="6168" width="18.7265625" style="1" customWidth="1"/>
    <col min="6169" max="6177" width="17.7265625" style="1" customWidth="1"/>
    <col min="6178" max="6184" width="18.7265625" style="1" customWidth="1"/>
    <col min="6185" max="6193" width="17.7265625" style="1" customWidth="1"/>
    <col min="6194" max="6200" width="18.7265625" style="1" customWidth="1"/>
    <col min="6201" max="6209" width="17.7265625" style="1" customWidth="1"/>
    <col min="6210" max="6216" width="18.7265625" style="1" customWidth="1"/>
    <col min="6217" max="6225" width="17.54296875" style="1" customWidth="1"/>
    <col min="6226" max="6232" width="18.54296875" style="1" customWidth="1"/>
    <col min="6233" max="6241" width="17.54296875" style="1" bestFit="1" customWidth="1"/>
    <col min="6242" max="6248" width="18.54296875" style="1" bestFit="1" customWidth="1"/>
    <col min="6249" max="6400" width="11.453125" style="1"/>
    <col min="6401" max="6401" width="45.54296875" style="1" customWidth="1"/>
    <col min="6402" max="6402" width="8.81640625" style="1" bestFit="1" customWidth="1"/>
    <col min="6403" max="6403" width="13.7265625" style="1" bestFit="1" customWidth="1"/>
    <col min="6404" max="6404" width="16.81640625" style="1" customWidth="1"/>
    <col min="6405" max="6405" width="8.81640625" style="1" bestFit="1" customWidth="1"/>
    <col min="6406" max="6406" width="13.7265625" style="1" bestFit="1" customWidth="1"/>
    <col min="6407" max="6407" width="17.26953125" style="1" customWidth="1"/>
    <col min="6408" max="6408" width="11.453125" style="1"/>
    <col min="6409" max="6417" width="17.7265625" style="1" customWidth="1"/>
    <col min="6418" max="6424" width="18.7265625" style="1" customWidth="1"/>
    <col min="6425" max="6433" width="17.7265625" style="1" customWidth="1"/>
    <col min="6434" max="6440" width="18.7265625" style="1" customWidth="1"/>
    <col min="6441" max="6449" width="17.7265625" style="1" customWidth="1"/>
    <col min="6450" max="6456" width="18.7265625" style="1" customWidth="1"/>
    <col min="6457" max="6465" width="17.7265625" style="1" customWidth="1"/>
    <col min="6466" max="6472" width="18.7265625" style="1" customWidth="1"/>
    <col min="6473" max="6481" width="17.54296875" style="1" customWidth="1"/>
    <col min="6482" max="6488" width="18.54296875" style="1" customWidth="1"/>
    <col min="6489" max="6497" width="17.54296875" style="1" bestFit="1" customWidth="1"/>
    <col min="6498" max="6504" width="18.54296875" style="1" bestFit="1" customWidth="1"/>
    <col min="6505" max="6656" width="11.453125" style="1"/>
    <col min="6657" max="6657" width="45.54296875" style="1" customWidth="1"/>
    <col min="6658" max="6658" width="8.81640625" style="1" bestFit="1" customWidth="1"/>
    <col min="6659" max="6659" width="13.7265625" style="1" bestFit="1" customWidth="1"/>
    <col min="6660" max="6660" width="16.81640625" style="1" customWidth="1"/>
    <col min="6661" max="6661" width="8.81640625" style="1" bestFit="1" customWidth="1"/>
    <col min="6662" max="6662" width="13.7265625" style="1" bestFit="1" customWidth="1"/>
    <col min="6663" max="6663" width="17.26953125" style="1" customWidth="1"/>
    <col min="6664" max="6664" width="11.453125" style="1"/>
    <col min="6665" max="6673" width="17.7265625" style="1" customWidth="1"/>
    <col min="6674" max="6680" width="18.7265625" style="1" customWidth="1"/>
    <col min="6681" max="6689" width="17.7265625" style="1" customWidth="1"/>
    <col min="6690" max="6696" width="18.7265625" style="1" customWidth="1"/>
    <col min="6697" max="6705" width="17.7265625" style="1" customWidth="1"/>
    <col min="6706" max="6712" width="18.7265625" style="1" customWidth="1"/>
    <col min="6713" max="6721" width="17.7265625" style="1" customWidth="1"/>
    <col min="6722" max="6728" width="18.7265625" style="1" customWidth="1"/>
    <col min="6729" max="6737" width="17.54296875" style="1" customWidth="1"/>
    <col min="6738" max="6744" width="18.54296875" style="1" customWidth="1"/>
    <col min="6745" max="6753" width="17.54296875" style="1" bestFit="1" customWidth="1"/>
    <col min="6754" max="6760" width="18.54296875" style="1" bestFit="1" customWidth="1"/>
    <col min="6761" max="6912" width="11.453125" style="1"/>
    <col min="6913" max="6913" width="45.54296875" style="1" customWidth="1"/>
    <col min="6914" max="6914" width="8.81640625" style="1" bestFit="1" customWidth="1"/>
    <col min="6915" max="6915" width="13.7265625" style="1" bestFit="1" customWidth="1"/>
    <col min="6916" max="6916" width="16.81640625" style="1" customWidth="1"/>
    <col min="6917" max="6917" width="8.81640625" style="1" bestFit="1" customWidth="1"/>
    <col min="6918" max="6918" width="13.7265625" style="1" bestFit="1" customWidth="1"/>
    <col min="6919" max="6919" width="17.26953125" style="1" customWidth="1"/>
    <col min="6920" max="6920" width="11.453125" style="1"/>
    <col min="6921" max="6929" width="17.7265625" style="1" customWidth="1"/>
    <col min="6930" max="6936" width="18.7265625" style="1" customWidth="1"/>
    <col min="6937" max="6945" width="17.7265625" style="1" customWidth="1"/>
    <col min="6946" max="6952" width="18.7265625" style="1" customWidth="1"/>
    <col min="6953" max="6961" width="17.7265625" style="1" customWidth="1"/>
    <col min="6962" max="6968" width="18.7265625" style="1" customWidth="1"/>
    <col min="6969" max="6977" width="17.7265625" style="1" customWidth="1"/>
    <col min="6978" max="6984" width="18.7265625" style="1" customWidth="1"/>
    <col min="6985" max="6993" width="17.54296875" style="1" customWidth="1"/>
    <col min="6994" max="7000" width="18.54296875" style="1" customWidth="1"/>
    <col min="7001" max="7009" width="17.54296875" style="1" bestFit="1" customWidth="1"/>
    <col min="7010" max="7016" width="18.54296875" style="1" bestFit="1" customWidth="1"/>
    <col min="7017" max="7168" width="11.453125" style="1"/>
    <col min="7169" max="7169" width="45.54296875" style="1" customWidth="1"/>
    <col min="7170" max="7170" width="8.81640625" style="1" bestFit="1" customWidth="1"/>
    <col min="7171" max="7171" width="13.7265625" style="1" bestFit="1" customWidth="1"/>
    <col min="7172" max="7172" width="16.81640625" style="1" customWidth="1"/>
    <col min="7173" max="7173" width="8.81640625" style="1" bestFit="1" customWidth="1"/>
    <col min="7174" max="7174" width="13.7265625" style="1" bestFit="1" customWidth="1"/>
    <col min="7175" max="7175" width="17.26953125" style="1" customWidth="1"/>
    <col min="7176" max="7176" width="11.453125" style="1"/>
    <col min="7177" max="7185" width="17.7265625" style="1" customWidth="1"/>
    <col min="7186" max="7192" width="18.7265625" style="1" customWidth="1"/>
    <col min="7193" max="7201" width="17.7265625" style="1" customWidth="1"/>
    <col min="7202" max="7208" width="18.7265625" style="1" customWidth="1"/>
    <col min="7209" max="7217" width="17.7265625" style="1" customWidth="1"/>
    <col min="7218" max="7224" width="18.7265625" style="1" customWidth="1"/>
    <col min="7225" max="7233" width="17.7265625" style="1" customWidth="1"/>
    <col min="7234" max="7240" width="18.7265625" style="1" customWidth="1"/>
    <col min="7241" max="7249" width="17.54296875" style="1" customWidth="1"/>
    <col min="7250" max="7256" width="18.54296875" style="1" customWidth="1"/>
    <col min="7257" max="7265" width="17.54296875" style="1" bestFit="1" customWidth="1"/>
    <col min="7266" max="7272" width="18.54296875" style="1" bestFit="1" customWidth="1"/>
    <col min="7273" max="7424" width="11.453125" style="1"/>
    <col min="7425" max="7425" width="45.54296875" style="1" customWidth="1"/>
    <col min="7426" max="7426" width="8.81640625" style="1" bestFit="1" customWidth="1"/>
    <col min="7427" max="7427" width="13.7265625" style="1" bestFit="1" customWidth="1"/>
    <col min="7428" max="7428" width="16.81640625" style="1" customWidth="1"/>
    <col min="7429" max="7429" width="8.81640625" style="1" bestFit="1" customWidth="1"/>
    <col min="7430" max="7430" width="13.7265625" style="1" bestFit="1" customWidth="1"/>
    <col min="7431" max="7431" width="17.26953125" style="1" customWidth="1"/>
    <col min="7432" max="7432" width="11.453125" style="1"/>
    <col min="7433" max="7441" width="17.7265625" style="1" customWidth="1"/>
    <col min="7442" max="7448" width="18.7265625" style="1" customWidth="1"/>
    <col min="7449" max="7457" width="17.7265625" style="1" customWidth="1"/>
    <col min="7458" max="7464" width="18.7265625" style="1" customWidth="1"/>
    <col min="7465" max="7473" width="17.7265625" style="1" customWidth="1"/>
    <col min="7474" max="7480" width="18.7265625" style="1" customWidth="1"/>
    <col min="7481" max="7489" width="17.7265625" style="1" customWidth="1"/>
    <col min="7490" max="7496" width="18.7265625" style="1" customWidth="1"/>
    <col min="7497" max="7505" width="17.54296875" style="1" customWidth="1"/>
    <col min="7506" max="7512" width="18.54296875" style="1" customWidth="1"/>
    <col min="7513" max="7521" width="17.54296875" style="1" bestFit="1" customWidth="1"/>
    <col min="7522" max="7528" width="18.54296875" style="1" bestFit="1" customWidth="1"/>
    <col min="7529" max="7680" width="11.453125" style="1"/>
    <col min="7681" max="7681" width="45.54296875" style="1" customWidth="1"/>
    <col min="7682" max="7682" width="8.81640625" style="1" bestFit="1" customWidth="1"/>
    <col min="7683" max="7683" width="13.7265625" style="1" bestFit="1" customWidth="1"/>
    <col min="7684" max="7684" width="16.81640625" style="1" customWidth="1"/>
    <col min="7685" max="7685" width="8.81640625" style="1" bestFit="1" customWidth="1"/>
    <col min="7686" max="7686" width="13.7265625" style="1" bestFit="1" customWidth="1"/>
    <col min="7687" max="7687" width="17.26953125" style="1" customWidth="1"/>
    <col min="7688" max="7688" width="11.453125" style="1"/>
    <col min="7689" max="7697" width="17.7265625" style="1" customWidth="1"/>
    <col min="7698" max="7704" width="18.7265625" style="1" customWidth="1"/>
    <col min="7705" max="7713" width="17.7265625" style="1" customWidth="1"/>
    <col min="7714" max="7720" width="18.7265625" style="1" customWidth="1"/>
    <col min="7721" max="7729" width="17.7265625" style="1" customWidth="1"/>
    <col min="7730" max="7736" width="18.7265625" style="1" customWidth="1"/>
    <col min="7737" max="7745" width="17.7265625" style="1" customWidth="1"/>
    <col min="7746" max="7752" width="18.7265625" style="1" customWidth="1"/>
    <col min="7753" max="7761" width="17.54296875" style="1" customWidth="1"/>
    <col min="7762" max="7768" width="18.54296875" style="1" customWidth="1"/>
    <col min="7769" max="7777" width="17.54296875" style="1" bestFit="1" customWidth="1"/>
    <col min="7778" max="7784" width="18.54296875" style="1" bestFit="1" customWidth="1"/>
    <col min="7785" max="7936" width="11.453125" style="1"/>
    <col min="7937" max="7937" width="45.54296875" style="1" customWidth="1"/>
    <col min="7938" max="7938" width="8.81640625" style="1" bestFit="1" customWidth="1"/>
    <col min="7939" max="7939" width="13.7265625" style="1" bestFit="1" customWidth="1"/>
    <col min="7940" max="7940" width="16.81640625" style="1" customWidth="1"/>
    <col min="7941" max="7941" width="8.81640625" style="1" bestFit="1" customWidth="1"/>
    <col min="7942" max="7942" width="13.7265625" style="1" bestFit="1" customWidth="1"/>
    <col min="7943" max="7943" width="17.26953125" style="1" customWidth="1"/>
    <col min="7944" max="7944" width="11.453125" style="1"/>
    <col min="7945" max="7953" width="17.7265625" style="1" customWidth="1"/>
    <col min="7954" max="7960" width="18.7265625" style="1" customWidth="1"/>
    <col min="7961" max="7969" width="17.7265625" style="1" customWidth="1"/>
    <col min="7970" max="7976" width="18.7265625" style="1" customWidth="1"/>
    <col min="7977" max="7985" width="17.7265625" style="1" customWidth="1"/>
    <col min="7986" max="7992" width="18.7265625" style="1" customWidth="1"/>
    <col min="7993" max="8001" width="17.7265625" style="1" customWidth="1"/>
    <col min="8002" max="8008" width="18.7265625" style="1" customWidth="1"/>
    <col min="8009" max="8017" width="17.54296875" style="1" customWidth="1"/>
    <col min="8018" max="8024" width="18.54296875" style="1" customWidth="1"/>
    <col min="8025" max="8033" width="17.54296875" style="1" bestFit="1" customWidth="1"/>
    <col min="8034" max="8040" width="18.54296875" style="1" bestFit="1" customWidth="1"/>
    <col min="8041" max="8192" width="11.453125" style="1"/>
    <col min="8193" max="8193" width="45.54296875" style="1" customWidth="1"/>
    <col min="8194" max="8194" width="8.81640625" style="1" bestFit="1" customWidth="1"/>
    <col min="8195" max="8195" width="13.7265625" style="1" bestFit="1" customWidth="1"/>
    <col min="8196" max="8196" width="16.81640625" style="1" customWidth="1"/>
    <col min="8197" max="8197" width="8.81640625" style="1" bestFit="1" customWidth="1"/>
    <col min="8198" max="8198" width="13.7265625" style="1" bestFit="1" customWidth="1"/>
    <col min="8199" max="8199" width="17.26953125" style="1" customWidth="1"/>
    <col min="8200" max="8200" width="11.453125" style="1"/>
    <col min="8201" max="8209" width="17.7265625" style="1" customWidth="1"/>
    <col min="8210" max="8216" width="18.7265625" style="1" customWidth="1"/>
    <col min="8217" max="8225" width="17.7265625" style="1" customWidth="1"/>
    <col min="8226" max="8232" width="18.7265625" style="1" customWidth="1"/>
    <col min="8233" max="8241" width="17.7265625" style="1" customWidth="1"/>
    <col min="8242" max="8248" width="18.7265625" style="1" customWidth="1"/>
    <col min="8249" max="8257" width="17.7265625" style="1" customWidth="1"/>
    <col min="8258" max="8264" width="18.7265625" style="1" customWidth="1"/>
    <col min="8265" max="8273" width="17.54296875" style="1" customWidth="1"/>
    <col min="8274" max="8280" width="18.54296875" style="1" customWidth="1"/>
    <col min="8281" max="8289" width="17.54296875" style="1" bestFit="1" customWidth="1"/>
    <col min="8290" max="8296" width="18.54296875" style="1" bestFit="1" customWidth="1"/>
    <col min="8297" max="8448" width="11.453125" style="1"/>
    <col min="8449" max="8449" width="45.54296875" style="1" customWidth="1"/>
    <col min="8450" max="8450" width="8.81640625" style="1" bestFit="1" customWidth="1"/>
    <col min="8451" max="8451" width="13.7265625" style="1" bestFit="1" customWidth="1"/>
    <col min="8452" max="8452" width="16.81640625" style="1" customWidth="1"/>
    <col min="8453" max="8453" width="8.81640625" style="1" bestFit="1" customWidth="1"/>
    <col min="8454" max="8454" width="13.7265625" style="1" bestFit="1" customWidth="1"/>
    <col min="8455" max="8455" width="17.26953125" style="1" customWidth="1"/>
    <col min="8456" max="8456" width="11.453125" style="1"/>
    <col min="8457" max="8465" width="17.7265625" style="1" customWidth="1"/>
    <col min="8466" max="8472" width="18.7265625" style="1" customWidth="1"/>
    <col min="8473" max="8481" width="17.7265625" style="1" customWidth="1"/>
    <col min="8482" max="8488" width="18.7265625" style="1" customWidth="1"/>
    <col min="8489" max="8497" width="17.7265625" style="1" customWidth="1"/>
    <col min="8498" max="8504" width="18.7265625" style="1" customWidth="1"/>
    <col min="8505" max="8513" width="17.7265625" style="1" customWidth="1"/>
    <col min="8514" max="8520" width="18.7265625" style="1" customWidth="1"/>
    <col min="8521" max="8529" width="17.54296875" style="1" customWidth="1"/>
    <col min="8530" max="8536" width="18.54296875" style="1" customWidth="1"/>
    <col min="8537" max="8545" width="17.54296875" style="1" bestFit="1" customWidth="1"/>
    <col min="8546" max="8552" width="18.54296875" style="1" bestFit="1" customWidth="1"/>
    <col min="8553" max="8704" width="11.453125" style="1"/>
    <col min="8705" max="8705" width="45.54296875" style="1" customWidth="1"/>
    <col min="8706" max="8706" width="8.81640625" style="1" bestFit="1" customWidth="1"/>
    <col min="8707" max="8707" width="13.7265625" style="1" bestFit="1" customWidth="1"/>
    <col min="8708" max="8708" width="16.81640625" style="1" customWidth="1"/>
    <col min="8709" max="8709" width="8.81640625" style="1" bestFit="1" customWidth="1"/>
    <col min="8710" max="8710" width="13.7265625" style="1" bestFit="1" customWidth="1"/>
    <col min="8711" max="8711" width="17.26953125" style="1" customWidth="1"/>
    <col min="8712" max="8712" width="11.453125" style="1"/>
    <col min="8713" max="8721" width="17.7265625" style="1" customWidth="1"/>
    <col min="8722" max="8728" width="18.7265625" style="1" customWidth="1"/>
    <col min="8729" max="8737" width="17.7265625" style="1" customWidth="1"/>
    <col min="8738" max="8744" width="18.7265625" style="1" customWidth="1"/>
    <col min="8745" max="8753" width="17.7265625" style="1" customWidth="1"/>
    <col min="8754" max="8760" width="18.7265625" style="1" customWidth="1"/>
    <col min="8761" max="8769" width="17.7265625" style="1" customWidth="1"/>
    <col min="8770" max="8776" width="18.7265625" style="1" customWidth="1"/>
    <col min="8777" max="8785" width="17.54296875" style="1" customWidth="1"/>
    <col min="8786" max="8792" width="18.54296875" style="1" customWidth="1"/>
    <col min="8793" max="8801" width="17.54296875" style="1" bestFit="1" customWidth="1"/>
    <col min="8802" max="8808" width="18.54296875" style="1" bestFit="1" customWidth="1"/>
    <col min="8809" max="8960" width="11.453125" style="1"/>
    <col min="8961" max="8961" width="45.54296875" style="1" customWidth="1"/>
    <col min="8962" max="8962" width="8.81640625" style="1" bestFit="1" customWidth="1"/>
    <col min="8963" max="8963" width="13.7265625" style="1" bestFit="1" customWidth="1"/>
    <col min="8964" max="8964" width="16.81640625" style="1" customWidth="1"/>
    <col min="8965" max="8965" width="8.81640625" style="1" bestFit="1" customWidth="1"/>
    <col min="8966" max="8966" width="13.7265625" style="1" bestFit="1" customWidth="1"/>
    <col min="8967" max="8967" width="17.26953125" style="1" customWidth="1"/>
    <col min="8968" max="8968" width="11.453125" style="1"/>
    <col min="8969" max="8977" width="17.7265625" style="1" customWidth="1"/>
    <col min="8978" max="8984" width="18.7265625" style="1" customWidth="1"/>
    <col min="8985" max="8993" width="17.7265625" style="1" customWidth="1"/>
    <col min="8994" max="9000" width="18.7265625" style="1" customWidth="1"/>
    <col min="9001" max="9009" width="17.7265625" style="1" customWidth="1"/>
    <col min="9010" max="9016" width="18.7265625" style="1" customWidth="1"/>
    <col min="9017" max="9025" width="17.7265625" style="1" customWidth="1"/>
    <col min="9026" max="9032" width="18.7265625" style="1" customWidth="1"/>
    <col min="9033" max="9041" width="17.54296875" style="1" customWidth="1"/>
    <col min="9042" max="9048" width="18.54296875" style="1" customWidth="1"/>
    <col min="9049" max="9057" width="17.54296875" style="1" bestFit="1" customWidth="1"/>
    <col min="9058" max="9064" width="18.54296875" style="1" bestFit="1" customWidth="1"/>
    <col min="9065" max="9216" width="11.453125" style="1"/>
    <col min="9217" max="9217" width="45.54296875" style="1" customWidth="1"/>
    <col min="9218" max="9218" width="8.81640625" style="1" bestFit="1" customWidth="1"/>
    <col min="9219" max="9219" width="13.7265625" style="1" bestFit="1" customWidth="1"/>
    <col min="9220" max="9220" width="16.81640625" style="1" customWidth="1"/>
    <col min="9221" max="9221" width="8.81640625" style="1" bestFit="1" customWidth="1"/>
    <col min="9222" max="9222" width="13.7265625" style="1" bestFit="1" customWidth="1"/>
    <col min="9223" max="9223" width="17.26953125" style="1" customWidth="1"/>
    <col min="9224" max="9224" width="11.453125" style="1"/>
    <col min="9225" max="9233" width="17.7265625" style="1" customWidth="1"/>
    <col min="9234" max="9240" width="18.7265625" style="1" customWidth="1"/>
    <col min="9241" max="9249" width="17.7265625" style="1" customWidth="1"/>
    <col min="9250" max="9256" width="18.7265625" style="1" customWidth="1"/>
    <col min="9257" max="9265" width="17.7265625" style="1" customWidth="1"/>
    <col min="9266" max="9272" width="18.7265625" style="1" customWidth="1"/>
    <col min="9273" max="9281" width="17.7265625" style="1" customWidth="1"/>
    <col min="9282" max="9288" width="18.7265625" style="1" customWidth="1"/>
    <col min="9289" max="9297" width="17.54296875" style="1" customWidth="1"/>
    <col min="9298" max="9304" width="18.54296875" style="1" customWidth="1"/>
    <col min="9305" max="9313" width="17.54296875" style="1" bestFit="1" customWidth="1"/>
    <col min="9314" max="9320" width="18.54296875" style="1" bestFit="1" customWidth="1"/>
    <col min="9321" max="9472" width="11.453125" style="1"/>
    <col min="9473" max="9473" width="45.54296875" style="1" customWidth="1"/>
    <col min="9474" max="9474" width="8.81640625" style="1" bestFit="1" customWidth="1"/>
    <col min="9475" max="9475" width="13.7265625" style="1" bestFit="1" customWidth="1"/>
    <col min="9476" max="9476" width="16.81640625" style="1" customWidth="1"/>
    <col min="9477" max="9477" width="8.81640625" style="1" bestFit="1" customWidth="1"/>
    <col min="9478" max="9478" width="13.7265625" style="1" bestFit="1" customWidth="1"/>
    <col min="9479" max="9479" width="17.26953125" style="1" customWidth="1"/>
    <col min="9480" max="9480" width="11.453125" style="1"/>
    <col min="9481" max="9489" width="17.7265625" style="1" customWidth="1"/>
    <col min="9490" max="9496" width="18.7265625" style="1" customWidth="1"/>
    <col min="9497" max="9505" width="17.7265625" style="1" customWidth="1"/>
    <col min="9506" max="9512" width="18.7265625" style="1" customWidth="1"/>
    <col min="9513" max="9521" width="17.7265625" style="1" customWidth="1"/>
    <col min="9522" max="9528" width="18.7265625" style="1" customWidth="1"/>
    <col min="9529" max="9537" width="17.7265625" style="1" customWidth="1"/>
    <col min="9538" max="9544" width="18.7265625" style="1" customWidth="1"/>
    <col min="9545" max="9553" width="17.54296875" style="1" customWidth="1"/>
    <col min="9554" max="9560" width="18.54296875" style="1" customWidth="1"/>
    <col min="9561" max="9569" width="17.54296875" style="1" bestFit="1" customWidth="1"/>
    <col min="9570" max="9576" width="18.54296875" style="1" bestFit="1" customWidth="1"/>
    <col min="9577" max="9728" width="11.453125" style="1"/>
    <col min="9729" max="9729" width="45.54296875" style="1" customWidth="1"/>
    <col min="9730" max="9730" width="8.81640625" style="1" bestFit="1" customWidth="1"/>
    <col min="9731" max="9731" width="13.7265625" style="1" bestFit="1" customWidth="1"/>
    <col min="9732" max="9732" width="16.81640625" style="1" customWidth="1"/>
    <col min="9733" max="9733" width="8.81640625" style="1" bestFit="1" customWidth="1"/>
    <col min="9734" max="9734" width="13.7265625" style="1" bestFit="1" customWidth="1"/>
    <col min="9735" max="9735" width="17.26953125" style="1" customWidth="1"/>
    <col min="9736" max="9736" width="11.453125" style="1"/>
    <col min="9737" max="9745" width="17.7265625" style="1" customWidth="1"/>
    <col min="9746" max="9752" width="18.7265625" style="1" customWidth="1"/>
    <col min="9753" max="9761" width="17.7265625" style="1" customWidth="1"/>
    <col min="9762" max="9768" width="18.7265625" style="1" customWidth="1"/>
    <col min="9769" max="9777" width="17.7265625" style="1" customWidth="1"/>
    <col min="9778" max="9784" width="18.7265625" style="1" customWidth="1"/>
    <col min="9785" max="9793" width="17.7265625" style="1" customWidth="1"/>
    <col min="9794" max="9800" width="18.7265625" style="1" customWidth="1"/>
    <col min="9801" max="9809" width="17.54296875" style="1" customWidth="1"/>
    <col min="9810" max="9816" width="18.54296875" style="1" customWidth="1"/>
    <col min="9817" max="9825" width="17.54296875" style="1" bestFit="1" customWidth="1"/>
    <col min="9826" max="9832" width="18.54296875" style="1" bestFit="1" customWidth="1"/>
    <col min="9833" max="9984" width="11.453125" style="1"/>
    <col min="9985" max="9985" width="45.54296875" style="1" customWidth="1"/>
    <col min="9986" max="9986" width="8.81640625" style="1" bestFit="1" customWidth="1"/>
    <col min="9987" max="9987" width="13.7265625" style="1" bestFit="1" customWidth="1"/>
    <col min="9988" max="9988" width="16.81640625" style="1" customWidth="1"/>
    <col min="9989" max="9989" width="8.81640625" style="1" bestFit="1" customWidth="1"/>
    <col min="9990" max="9990" width="13.7265625" style="1" bestFit="1" customWidth="1"/>
    <col min="9991" max="9991" width="17.26953125" style="1" customWidth="1"/>
    <col min="9992" max="9992" width="11.453125" style="1"/>
    <col min="9993" max="10001" width="17.7265625" style="1" customWidth="1"/>
    <col min="10002" max="10008" width="18.7265625" style="1" customWidth="1"/>
    <col min="10009" max="10017" width="17.7265625" style="1" customWidth="1"/>
    <col min="10018" max="10024" width="18.7265625" style="1" customWidth="1"/>
    <col min="10025" max="10033" width="17.7265625" style="1" customWidth="1"/>
    <col min="10034" max="10040" width="18.7265625" style="1" customWidth="1"/>
    <col min="10041" max="10049" width="17.7265625" style="1" customWidth="1"/>
    <col min="10050" max="10056" width="18.7265625" style="1" customWidth="1"/>
    <col min="10057" max="10065" width="17.54296875" style="1" customWidth="1"/>
    <col min="10066" max="10072" width="18.54296875" style="1" customWidth="1"/>
    <col min="10073" max="10081" width="17.54296875" style="1" bestFit="1" customWidth="1"/>
    <col min="10082" max="10088" width="18.54296875" style="1" bestFit="1" customWidth="1"/>
    <col min="10089" max="10240" width="11.453125" style="1"/>
    <col min="10241" max="10241" width="45.54296875" style="1" customWidth="1"/>
    <col min="10242" max="10242" width="8.81640625" style="1" bestFit="1" customWidth="1"/>
    <col min="10243" max="10243" width="13.7265625" style="1" bestFit="1" customWidth="1"/>
    <col min="10244" max="10244" width="16.81640625" style="1" customWidth="1"/>
    <col min="10245" max="10245" width="8.81640625" style="1" bestFit="1" customWidth="1"/>
    <col min="10246" max="10246" width="13.7265625" style="1" bestFit="1" customWidth="1"/>
    <col min="10247" max="10247" width="17.26953125" style="1" customWidth="1"/>
    <col min="10248" max="10248" width="11.453125" style="1"/>
    <col min="10249" max="10257" width="17.7265625" style="1" customWidth="1"/>
    <col min="10258" max="10264" width="18.7265625" style="1" customWidth="1"/>
    <col min="10265" max="10273" width="17.7265625" style="1" customWidth="1"/>
    <col min="10274" max="10280" width="18.7265625" style="1" customWidth="1"/>
    <col min="10281" max="10289" width="17.7265625" style="1" customWidth="1"/>
    <col min="10290" max="10296" width="18.7265625" style="1" customWidth="1"/>
    <col min="10297" max="10305" width="17.7265625" style="1" customWidth="1"/>
    <col min="10306" max="10312" width="18.7265625" style="1" customWidth="1"/>
    <col min="10313" max="10321" width="17.54296875" style="1" customWidth="1"/>
    <col min="10322" max="10328" width="18.54296875" style="1" customWidth="1"/>
    <col min="10329" max="10337" width="17.54296875" style="1" bestFit="1" customWidth="1"/>
    <col min="10338" max="10344" width="18.54296875" style="1" bestFit="1" customWidth="1"/>
    <col min="10345" max="10496" width="11.453125" style="1"/>
    <col min="10497" max="10497" width="45.54296875" style="1" customWidth="1"/>
    <col min="10498" max="10498" width="8.81640625" style="1" bestFit="1" customWidth="1"/>
    <col min="10499" max="10499" width="13.7265625" style="1" bestFit="1" customWidth="1"/>
    <col min="10500" max="10500" width="16.81640625" style="1" customWidth="1"/>
    <col min="10501" max="10501" width="8.81640625" style="1" bestFit="1" customWidth="1"/>
    <col min="10502" max="10502" width="13.7265625" style="1" bestFit="1" customWidth="1"/>
    <col min="10503" max="10503" width="17.26953125" style="1" customWidth="1"/>
    <col min="10504" max="10504" width="11.453125" style="1"/>
    <col min="10505" max="10513" width="17.7265625" style="1" customWidth="1"/>
    <col min="10514" max="10520" width="18.7265625" style="1" customWidth="1"/>
    <col min="10521" max="10529" width="17.7265625" style="1" customWidth="1"/>
    <col min="10530" max="10536" width="18.7265625" style="1" customWidth="1"/>
    <col min="10537" max="10545" width="17.7265625" style="1" customWidth="1"/>
    <col min="10546" max="10552" width="18.7265625" style="1" customWidth="1"/>
    <col min="10553" max="10561" width="17.7265625" style="1" customWidth="1"/>
    <col min="10562" max="10568" width="18.7265625" style="1" customWidth="1"/>
    <col min="10569" max="10577" width="17.54296875" style="1" customWidth="1"/>
    <col min="10578" max="10584" width="18.54296875" style="1" customWidth="1"/>
    <col min="10585" max="10593" width="17.54296875" style="1" bestFit="1" customWidth="1"/>
    <col min="10594" max="10600" width="18.54296875" style="1" bestFit="1" customWidth="1"/>
    <col min="10601" max="10752" width="11.453125" style="1"/>
    <col min="10753" max="10753" width="45.54296875" style="1" customWidth="1"/>
    <col min="10754" max="10754" width="8.81640625" style="1" bestFit="1" customWidth="1"/>
    <col min="10755" max="10755" width="13.7265625" style="1" bestFit="1" customWidth="1"/>
    <col min="10756" max="10756" width="16.81640625" style="1" customWidth="1"/>
    <col min="10757" max="10757" width="8.81640625" style="1" bestFit="1" customWidth="1"/>
    <col min="10758" max="10758" width="13.7265625" style="1" bestFit="1" customWidth="1"/>
    <col min="10759" max="10759" width="17.26953125" style="1" customWidth="1"/>
    <col min="10760" max="10760" width="11.453125" style="1"/>
    <col min="10761" max="10769" width="17.7265625" style="1" customWidth="1"/>
    <col min="10770" max="10776" width="18.7265625" style="1" customWidth="1"/>
    <col min="10777" max="10785" width="17.7265625" style="1" customWidth="1"/>
    <col min="10786" max="10792" width="18.7265625" style="1" customWidth="1"/>
    <col min="10793" max="10801" width="17.7265625" style="1" customWidth="1"/>
    <col min="10802" max="10808" width="18.7265625" style="1" customWidth="1"/>
    <col min="10809" max="10817" width="17.7265625" style="1" customWidth="1"/>
    <col min="10818" max="10824" width="18.7265625" style="1" customWidth="1"/>
    <col min="10825" max="10833" width="17.54296875" style="1" customWidth="1"/>
    <col min="10834" max="10840" width="18.54296875" style="1" customWidth="1"/>
    <col min="10841" max="10849" width="17.54296875" style="1" bestFit="1" customWidth="1"/>
    <col min="10850" max="10856" width="18.54296875" style="1" bestFit="1" customWidth="1"/>
    <col min="10857" max="11008" width="11.453125" style="1"/>
    <col min="11009" max="11009" width="45.54296875" style="1" customWidth="1"/>
    <col min="11010" max="11010" width="8.81640625" style="1" bestFit="1" customWidth="1"/>
    <col min="11011" max="11011" width="13.7265625" style="1" bestFit="1" customWidth="1"/>
    <col min="11012" max="11012" width="16.81640625" style="1" customWidth="1"/>
    <col min="11013" max="11013" width="8.81640625" style="1" bestFit="1" customWidth="1"/>
    <col min="11014" max="11014" width="13.7265625" style="1" bestFit="1" customWidth="1"/>
    <col min="11015" max="11015" width="17.26953125" style="1" customWidth="1"/>
    <col min="11016" max="11016" width="11.453125" style="1"/>
    <col min="11017" max="11025" width="17.7265625" style="1" customWidth="1"/>
    <col min="11026" max="11032" width="18.7265625" style="1" customWidth="1"/>
    <col min="11033" max="11041" width="17.7265625" style="1" customWidth="1"/>
    <col min="11042" max="11048" width="18.7265625" style="1" customWidth="1"/>
    <col min="11049" max="11057" width="17.7265625" style="1" customWidth="1"/>
    <col min="11058" max="11064" width="18.7265625" style="1" customWidth="1"/>
    <col min="11065" max="11073" width="17.7265625" style="1" customWidth="1"/>
    <col min="11074" max="11080" width="18.7265625" style="1" customWidth="1"/>
    <col min="11081" max="11089" width="17.54296875" style="1" customWidth="1"/>
    <col min="11090" max="11096" width="18.54296875" style="1" customWidth="1"/>
    <col min="11097" max="11105" width="17.54296875" style="1" bestFit="1" customWidth="1"/>
    <col min="11106" max="11112" width="18.54296875" style="1" bestFit="1" customWidth="1"/>
    <col min="11113" max="11264" width="11.453125" style="1"/>
    <col min="11265" max="11265" width="45.54296875" style="1" customWidth="1"/>
    <col min="11266" max="11266" width="8.81640625" style="1" bestFit="1" customWidth="1"/>
    <col min="11267" max="11267" width="13.7265625" style="1" bestFit="1" customWidth="1"/>
    <col min="11268" max="11268" width="16.81640625" style="1" customWidth="1"/>
    <col min="11269" max="11269" width="8.81640625" style="1" bestFit="1" customWidth="1"/>
    <col min="11270" max="11270" width="13.7265625" style="1" bestFit="1" customWidth="1"/>
    <col min="11271" max="11271" width="17.26953125" style="1" customWidth="1"/>
    <col min="11272" max="11272" width="11.453125" style="1"/>
    <col min="11273" max="11281" width="17.7265625" style="1" customWidth="1"/>
    <col min="11282" max="11288" width="18.7265625" style="1" customWidth="1"/>
    <col min="11289" max="11297" width="17.7265625" style="1" customWidth="1"/>
    <col min="11298" max="11304" width="18.7265625" style="1" customWidth="1"/>
    <col min="11305" max="11313" width="17.7265625" style="1" customWidth="1"/>
    <col min="11314" max="11320" width="18.7265625" style="1" customWidth="1"/>
    <col min="11321" max="11329" width="17.7265625" style="1" customWidth="1"/>
    <col min="11330" max="11336" width="18.7265625" style="1" customWidth="1"/>
    <col min="11337" max="11345" width="17.54296875" style="1" customWidth="1"/>
    <col min="11346" max="11352" width="18.54296875" style="1" customWidth="1"/>
    <col min="11353" max="11361" width="17.54296875" style="1" bestFit="1" customWidth="1"/>
    <col min="11362" max="11368" width="18.54296875" style="1" bestFit="1" customWidth="1"/>
    <col min="11369" max="11520" width="11.453125" style="1"/>
    <col min="11521" max="11521" width="45.54296875" style="1" customWidth="1"/>
    <col min="11522" max="11522" width="8.81640625" style="1" bestFit="1" customWidth="1"/>
    <col min="11523" max="11523" width="13.7265625" style="1" bestFit="1" customWidth="1"/>
    <col min="11524" max="11524" width="16.81640625" style="1" customWidth="1"/>
    <col min="11525" max="11525" width="8.81640625" style="1" bestFit="1" customWidth="1"/>
    <col min="11526" max="11526" width="13.7265625" style="1" bestFit="1" customWidth="1"/>
    <col min="11527" max="11527" width="17.26953125" style="1" customWidth="1"/>
    <col min="11528" max="11528" width="11.453125" style="1"/>
    <col min="11529" max="11537" width="17.7265625" style="1" customWidth="1"/>
    <col min="11538" max="11544" width="18.7265625" style="1" customWidth="1"/>
    <col min="11545" max="11553" width="17.7265625" style="1" customWidth="1"/>
    <col min="11554" max="11560" width="18.7265625" style="1" customWidth="1"/>
    <col min="11561" max="11569" width="17.7265625" style="1" customWidth="1"/>
    <col min="11570" max="11576" width="18.7265625" style="1" customWidth="1"/>
    <col min="11577" max="11585" width="17.7265625" style="1" customWidth="1"/>
    <col min="11586" max="11592" width="18.7265625" style="1" customWidth="1"/>
    <col min="11593" max="11601" width="17.54296875" style="1" customWidth="1"/>
    <col min="11602" max="11608" width="18.54296875" style="1" customWidth="1"/>
    <col min="11609" max="11617" width="17.54296875" style="1" bestFit="1" customWidth="1"/>
    <col min="11618" max="11624" width="18.54296875" style="1" bestFit="1" customWidth="1"/>
    <col min="11625" max="11776" width="11.453125" style="1"/>
    <col min="11777" max="11777" width="45.54296875" style="1" customWidth="1"/>
    <col min="11778" max="11778" width="8.81640625" style="1" bestFit="1" customWidth="1"/>
    <col min="11779" max="11779" width="13.7265625" style="1" bestFit="1" customWidth="1"/>
    <col min="11780" max="11780" width="16.81640625" style="1" customWidth="1"/>
    <col min="11781" max="11781" width="8.81640625" style="1" bestFit="1" customWidth="1"/>
    <col min="11782" max="11782" width="13.7265625" style="1" bestFit="1" customWidth="1"/>
    <col min="11783" max="11783" width="17.26953125" style="1" customWidth="1"/>
    <col min="11784" max="11784" width="11.453125" style="1"/>
    <col min="11785" max="11793" width="17.7265625" style="1" customWidth="1"/>
    <col min="11794" max="11800" width="18.7265625" style="1" customWidth="1"/>
    <col min="11801" max="11809" width="17.7265625" style="1" customWidth="1"/>
    <col min="11810" max="11816" width="18.7265625" style="1" customWidth="1"/>
    <col min="11817" max="11825" width="17.7265625" style="1" customWidth="1"/>
    <col min="11826" max="11832" width="18.7265625" style="1" customWidth="1"/>
    <col min="11833" max="11841" width="17.7265625" style="1" customWidth="1"/>
    <col min="11842" max="11848" width="18.7265625" style="1" customWidth="1"/>
    <col min="11849" max="11857" width="17.54296875" style="1" customWidth="1"/>
    <col min="11858" max="11864" width="18.54296875" style="1" customWidth="1"/>
    <col min="11865" max="11873" width="17.54296875" style="1" bestFit="1" customWidth="1"/>
    <col min="11874" max="11880" width="18.54296875" style="1" bestFit="1" customWidth="1"/>
    <col min="11881" max="12032" width="11.453125" style="1"/>
    <col min="12033" max="12033" width="45.54296875" style="1" customWidth="1"/>
    <col min="12034" max="12034" width="8.81640625" style="1" bestFit="1" customWidth="1"/>
    <col min="12035" max="12035" width="13.7265625" style="1" bestFit="1" customWidth="1"/>
    <col min="12036" max="12036" width="16.81640625" style="1" customWidth="1"/>
    <col min="12037" max="12037" width="8.81640625" style="1" bestFit="1" customWidth="1"/>
    <col min="12038" max="12038" width="13.7265625" style="1" bestFit="1" customWidth="1"/>
    <col min="12039" max="12039" width="17.26953125" style="1" customWidth="1"/>
    <col min="12040" max="12040" width="11.453125" style="1"/>
    <col min="12041" max="12049" width="17.7265625" style="1" customWidth="1"/>
    <col min="12050" max="12056" width="18.7265625" style="1" customWidth="1"/>
    <col min="12057" max="12065" width="17.7265625" style="1" customWidth="1"/>
    <col min="12066" max="12072" width="18.7265625" style="1" customWidth="1"/>
    <col min="12073" max="12081" width="17.7265625" style="1" customWidth="1"/>
    <col min="12082" max="12088" width="18.7265625" style="1" customWidth="1"/>
    <col min="12089" max="12097" width="17.7265625" style="1" customWidth="1"/>
    <col min="12098" max="12104" width="18.7265625" style="1" customWidth="1"/>
    <col min="12105" max="12113" width="17.54296875" style="1" customWidth="1"/>
    <col min="12114" max="12120" width="18.54296875" style="1" customWidth="1"/>
    <col min="12121" max="12129" width="17.54296875" style="1" bestFit="1" customWidth="1"/>
    <col min="12130" max="12136" width="18.54296875" style="1" bestFit="1" customWidth="1"/>
    <col min="12137" max="12288" width="11.453125" style="1"/>
    <col min="12289" max="12289" width="45.54296875" style="1" customWidth="1"/>
    <col min="12290" max="12290" width="8.81640625" style="1" bestFit="1" customWidth="1"/>
    <col min="12291" max="12291" width="13.7265625" style="1" bestFit="1" customWidth="1"/>
    <col min="12292" max="12292" width="16.81640625" style="1" customWidth="1"/>
    <col min="12293" max="12293" width="8.81640625" style="1" bestFit="1" customWidth="1"/>
    <col min="12294" max="12294" width="13.7265625" style="1" bestFit="1" customWidth="1"/>
    <col min="12295" max="12295" width="17.26953125" style="1" customWidth="1"/>
    <col min="12296" max="12296" width="11.453125" style="1"/>
    <col min="12297" max="12305" width="17.7265625" style="1" customWidth="1"/>
    <col min="12306" max="12312" width="18.7265625" style="1" customWidth="1"/>
    <col min="12313" max="12321" width="17.7265625" style="1" customWidth="1"/>
    <col min="12322" max="12328" width="18.7265625" style="1" customWidth="1"/>
    <col min="12329" max="12337" width="17.7265625" style="1" customWidth="1"/>
    <col min="12338" max="12344" width="18.7265625" style="1" customWidth="1"/>
    <col min="12345" max="12353" width="17.7265625" style="1" customWidth="1"/>
    <col min="12354" max="12360" width="18.7265625" style="1" customWidth="1"/>
    <col min="12361" max="12369" width="17.54296875" style="1" customWidth="1"/>
    <col min="12370" max="12376" width="18.54296875" style="1" customWidth="1"/>
    <col min="12377" max="12385" width="17.54296875" style="1" bestFit="1" customWidth="1"/>
    <col min="12386" max="12392" width="18.54296875" style="1" bestFit="1" customWidth="1"/>
    <col min="12393" max="12544" width="11.453125" style="1"/>
    <col min="12545" max="12545" width="45.54296875" style="1" customWidth="1"/>
    <col min="12546" max="12546" width="8.81640625" style="1" bestFit="1" customWidth="1"/>
    <col min="12547" max="12547" width="13.7265625" style="1" bestFit="1" customWidth="1"/>
    <col min="12548" max="12548" width="16.81640625" style="1" customWidth="1"/>
    <col min="12549" max="12549" width="8.81640625" style="1" bestFit="1" customWidth="1"/>
    <col min="12550" max="12550" width="13.7265625" style="1" bestFit="1" customWidth="1"/>
    <col min="12551" max="12551" width="17.26953125" style="1" customWidth="1"/>
    <col min="12552" max="12552" width="11.453125" style="1"/>
    <col min="12553" max="12561" width="17.7265625" style="1" customWidth="1"/>
    <col min="12562" max="12568" width="18.7265625" style="1" customWidth="1"/>
    <col min="12569" max="12577" width="17.7265625" style="1" customWidth="1"/>
    <col min="12578" max="12584" width="18.7265625" style="1" customWidth="1"/>
    <col min="12585" max="12593" width="17.7265625" style="1" customWidth="1"/>
    <col min="12594" max="12600" width="18.7265625" style="1" customWidth="1"/>
    <col min="12601" max="12609" width="17.7265625" style="1" customWidth="1"/>
    <col min="12610" max="12616" width="18.7265625" style="1" customWidth="1"/>
    <col min="12617" max="12625" width="17.54296875" style="1" customWidth="1"/>
    <col min="12626" max="12632" width="18.54296875" style="1" customWidth="1"/>
    <col min="12633" max="12641" width="17.54296875" style="1" bestFit="1" customWidth="1"/>
    <col min="12642" max="12648" width="18.54296875" style="1" bestFit="1" customWidth="1"/>
    <col min="12649" max="12800" width="11.453125" style="1"/>
    <col min="12801" max="12801" width="45.54296875" style="1" customWidth="1"/>
    <col min="12802" max="12802" width="8.81640625" style="1" bestFit="1" customWidth="1"/>
    <col min="12803" max="12803" width="13.7265625" style="1" bestFit="1" customWidth="1"/>
    <col min="12804" max="12804" width="16.81640625" style="1" customWidth="1"/>
    <col min="12805" max="12805" width="8.81640625" style="1" bestFit="1" customWidth="1"/>
    <col min="12806" max="12806" width="13.7265625" style="1" bestFit="1" customWidth="1"/>
    <col min="12807" max="12807" width="17.26953125" style="1" customWidth="1"/>
    <col min="12808" max="12808" width="11.453125" style="1"/>
    <col min="12809" max="12817" width="17.7265625" style="1" customWidth="1"/>
    <col min="12818" max="12824" width="18.7265625" style="1" customWidth="1"/>
    <col min="12825" max="12833" width="17.7265625" style="1" customWidth="1"/>
    <col min="12834" max="12840" width="18.7265625" style="1" customWidth="1"/>
    <col min="12841" max="12849" width="17.7265625" style="1" customWidth="1"/>
    <col min="12850" max="12856" width="18.7265625" style="1" customWidth="1"/>
    <col min="12857" max="12865" width="17.7265625" style="1" customWidth="1"/>
    <col min="12866" max="12872" width="18.7265625" style="1" customWidth="1"/>
    <col min="12873" max="12881" width="17.54296875" style="1" customWidth="1"/>
    <col min="12882" max="12888" width="18.54296875" style="1" customWidth="1"/>
    <col min="12889" max="12897" width="17.54296875" style="1" bestFit="1" customWidth="1"/>
    <col min="12898" max="12904" width="18.54296875" style="1" bestFit="1" customWidth="1"/>
    <col min="12905" max="13056" width="11.453125" style="1"/>
    <col min="13057" max="13057" width="45.54296875" style="1" customWidth="1"/>
    <col min="13058" max="13058" width="8.81640625" style="1" bestFit="1" customWidth="1"/>
    <col min="13059" max="13059" width="13.7265625" style="1" bestFit="1" customWidth="1"/>
    <col min="13060" max="13060" width="16.81640625" style="1" customWidth="1"/>
    <col min="13061" max="13061" width="8.81640625" style="1" bestFit="1" customWidth="1"/>
    <col min="13062" max="13062" width="13.7265625" style="1" bestFit="1" customWidth="1"/>
    <col min="13063" max="13063" width="17.26953125" style="1" customWidth="1"/>
    <col min="13064" max="13064" width="11.453125" style="1"/>
    <col min="13065" max="13073" width="17.7265625" style="1" customWidth="1"/>
    <col min="13074" max="13080" width="18.7265625" style="1" customWidth="1"/>
    <col min="13081" max="13089" width="17.7265625" style="1" customWidth="1"/>
    <col min="13090" max="13096" width="18.7265625" style="1" customWidth="1"/>
    <col min="13097" max="13105" width="17.7265625" style="1" customWidth="1"/>
    <col min="13106" max="13112" width="18.7265625" style="1" customWidth="1"/>
    <col min="13113" max="13121" width="17.7265625" style="1" customWidth="1"/>
    <col min="13122" max="13128" width="18.7265625" style="1" customWidth="1"/>
    <col min="13129" max="13137" width="17.54296875" style="1" customWidth="1"/>
    <col min="13138" max="13144" width="18.54296875" style="1" customWidth="1"/>
    <col min="13145" max="13153" width="17.54296875" style="1" bestFit="1" customWidth="1"/>
    <col min="13154" max="13160" width="18.54296875" style="1" bestFit="1" customWidth="1"/>
    <col min="13161" max="13312" width="11.453125" style="1"/>
    <col min="13313" max="13313" width="45.54296875" style="1" customWidth="1"/>
    <col min="13314" max="13314" width="8.81640625" style="1" bestFit="1" customWidth="1"/>
    <col min="13315" max="13315" width="13.7265625" style="1" bestFit="1" customWidth="1"/>
    <col min="13316" max="13316" width="16.81640625" style="1" customWidth="1"/>
    <col min="13317" max="13317" width="8.81640625" style="1" bestFit="1" customWidth="1"/>
    <col min="13318" max="13318" width="13.7265625" style="1" bestFit="1" customWidth="1"/>
    <col min="13319" max="13319" width="17.26953125" style="1" customWidth="1"/>
    <col min="13320" max="13320" width="11.453125" style="1"/>
    <col min="13321" max="13329" width="17.7265625" style="1" customWidth="1"/>
    <col min="13330" max="13336" width="18.7265625" style="1" customWidth="1"/>
    <col min="13337" max="13345" width="17.7265625" style="1" customWidth="1"/>
    <col min="13346" max="13352" width="18.7265625" style="1" customWidth="1"/>
    <col min="13353" max="13361" width="17.7265625" style="1" customWidth="1"/>
    <col min="13362" max="13368" width="18.7265625" style="1" customWidth="1"/>
    <col min="13369" max="13377" width="17.7265625" style="1" customWidth="1"/>
    <col min="13378" max="13384" width="18.7265625" style="1" customWidth="1"/>
    <col min="13385" max="13393" width="17.54296875" style="1" customWidth="1"/>
    <col min="13394" max="13400" width="18.54296875" style="1" customWidth="1"/>
    <col min="13401" max="13409" width="17.54296875" style="1" bestFit="1" customWidth="1"/>
    <col min="13410" max="13416" width="18.54296875" style="1" bestFit="1" customWidth="1"/>
    <col min="13417" max="13568" width="11.453125" style="1"/>
    <col min="13569" max="13569" width="45.54296875" style="1" customWidth="1"/>
    <col min="13570" max="13570" width="8.81640625" style="1" bestFit="1" customWidth="1"/>
    <col min="13571" max="13571" width="13.7265625" style="1" bestFit="1" customWidth="1"/>
    <col min="13572" max="13572" width="16.81640625" style="1" customWidth="1"/>
    <col min="13573" max="13573" width="8.81640625" style="1" bestFit="1" customWidth="1"/>
    <col min="13574" max="13574" width="13.7265625" style="1" bestFit="1" customWidth="1"/>
    <col min="13575" max="13575" width="17.26953125" style="1" customWidth="1"/>
    <col min="13576" max="13576" width="11.453125" style="1"/>
    <col min="13577" max="13585" width="17.7265625" style="1" customWidth="1"/>
    <col min="13586" max="13592" width="18.7265625" style="1" customWidth="1"/>
    <col min="13593" max="13601" width="17.7265625" style="1" customWidth="1"/>
    <col min="13602" max="13608" width="18.7265625" style="1" customWidth="1"/>
    <col min="13609" max="13617" width="17.7265625" style="1" customWidth="1"/>
    <col min="13618" max="13624" width="18.7265625" style="1" customWidth="1"/>
    <col min="13625" max="13633" width="17.7265625" style="1" customWidth="1"/>
    <col min="13634" max="13640" width="18.7265625" style="1" customWidth="1"/>
    <col min="13641" max="13649" width="17.54296875" style="1" customWidth="1"/>
    <col min="13650" max="13656" width="18.54296875" style="1" customWidth="1"/>
    <col min="13657" max="13665" width="17.54296875" style="1" bestFit="1" customWidth="1"/>
    <col min="13666" max="13672" width="18.54296875" style="1" bestFit="1" customWidth="1"/>
    <col min="13673" max="13824" width="11.453125" style="1"/>
    <col min="13825" max="13825" width="45.54296875" style="1" customWidth="1"/>
    <col min="13826" max="13826" width="8.81640625" style="1" bestFit="1" customWidth="1"/>
    <col min="13827" max="13827" width="13.7265625" style="1" bestFit="1" customWidth="1"/>
    <col min="13828" max="13828" width="16.81640625" style="1" customWidth="1"/>
    <col min="13829" max="13829" width="8.81640625" style="1" bestFit="1" customWidth="1"/>
    <col min="13830" max="13830" width="13.7265625" style="1" bestFit="1" customWidth="1"/>
    <col min="13831" max="13831" width="17.26953125" style="1" customWidth="1"/>
    <col min="13832" max="13832" width="11.453125" style="1"/>
    <col min="13833" max="13841" width="17.7265625" style="1" customWidth="1"/>
    <col min="13842" max="13848" width="18.7265625" style="1" customWidth="1"/>
    <col min="13849" max="13857" width="17.7265625" style="1" customWidth="1"/>
    <col min="13858" max="13864" width="18.7265625" style="1" customWidth="1"/>
    <col min="13865" max="13873" width="17.7265625" style="1" customWidth="1"/>
    <col min="13874" max="13880" width="18.7265625" style="1" customWidth="1"/>
    <col min="13881" max="13889" width="17.7265625" style="1" customWidth="1"/>
    <col min="13890" max="13896" width="18.7265625" style="1" customWidth="1"/>
    <col min="13897" max="13905" width="17.54296875" style="1" customWidth="1"/>
    <col min="13906" max="13912" width="18.54296875" style="1" customWidth="1"/>
    <col min="13913" max="13921" width="17.54296875" style="1" bestFit="1" customWidth="1"/>
    <col min="13922" max="13928" width="18.54296875" style="1" bestFit="1" customWidth="1"/>
    <col min="13929" max="14080" width="11.453125" style="1"/>
    <col min="14081" max="14081" width="45.54296875" style="1" customWidth="1"/>
    <col min="14082" max="14082" width="8.81640625" style="1" bestFit="1" customWidth="1"/>
    <col min="14083" max="14083" width="13.7265625" style="1" bestFit="1" customWidth="1"/>
    <col min="14084" max="14084" width="16.81640625" style="1" customWidth="1"/>
    <col min="14085" max="14085" width="8.81640625" style="1" bestFit="1" customWidth="1"/>
    <col min="14086" max="14086" width="13.7265625" style="1" bestFit="1" customWidth="1"/>
    <col min="14087" max="14087" width="17.26953125" style="1" customWidth="1"/>
    <col min="14088" max="14088" width="11.453125" style="1"/>
    <col min="14089" max="14097" width="17.7265625" style="1" customWidth="1"/>
    <col min="14098" max="14104" width="18.7265625" style="1" customWidth="1"/>
    <col min="14105" max="14113" width="17.7265625" style="1" customWidth="1"/>
    <col min="14114" max="14120" width="18.7265625" style="1" customWidth="1"/>
    <col min="14121" max="14129" width="17.7265625" style="1" customWidth="1"/>
    <col min="14130" max="14136" width="18.7265625" style="1" customWidth="1"/>
    <col min="14137" max="14145" width="17.7265625" style="1" customWidth="1"/>
    <col min="14146" max="14152" width="18.7265625" style="1" customWidth="1"/>
    <col min="14153" max="14161" width="17.54296875" style="1" customWidth="1"/>
    <col min="14162" max="14168" width="18.54296875" style="1" customWidth="1"/>
    <col min="14169" max="14177" width="17.54296875" style="1" bestFit="1" customWidth="1"/>
    <col min="14178" max="14184" width="18.54296875" style="1" bestFit="1" customWidth="1"/>
    <col min="14185" max="14336" width="11.453125" style="1"/>
    <col min="14337" max="14337" width="45.54296875" style="1" customWidth="1"/>
    <col min="14338" max="14338" width="8.81640625" style="1" bestFit="1" customWidth="1"/>
    <col min="14339" max="14339" width="13.7265625" style="1" bestFit="1" customWidth="1"/>
    <col min="14340" max="14340" width="16.81640625" style="1" customWidth="1"/>
    <col min="14341" max="14341" width="8.81640625" style="1" bestFit="1" customWidth="1"/>
    <col min="14342" max="14342" width="13.7265625" style="1" bestFit="1" customWidth="1"/>
    <col min="14343" max="14343" width="17.26953125" style="1" customWidth="1"/>
    <col min="14344" max="14344" width="11.453125" style="1"/>
    <col min="14345" max="14353" width="17.7265625" style="1" customWidth="1"/>
    <col min="14354" max="14360" width="18.7265625" style="1" customWidth="1"/>
    <col min="14361" max="14369" width="17.7265625" style="1" customWidth="1"/>
    <col min="14370" max="14376" width="18.7265625" style="1" customWidth="1"/>
    <col min="14377" max="14385" width="17.7265625" style="1" customWidth="1"/>
    <col min="14386" max="14392" width="18.7265625" style="1" customWidth="1"/>
    <col min="14393" max="14401" width="17.7265625" style="1" customWidth="1"/>
    <col min="14402" max="14408" width="18.7265625" style="1" customWidth="1"/>
    <col min="14409" max="14417" width="17.54296875" style="1" customWidth="1"/>
    <col min="14418" max="14424" width="18.54296875" style="1" customWidth="1"/>
    <col min="14425" max="14433" width="17.54296875" style="1" bestFit="1" customWidth="1"/>
    <col min="14434" max="14440" width="18.54296875" style="1" bestFit="1" customWidth="1"/>
    <col min="14441" max="14592" width="11.453125" style="1"/>
    <col min="14593" max="14593" width="45.54296875" style="1" customWidth="1"/>
    <col min="14594" max="14594" width="8.81640625" style="1" bestFit="1" customWidth="1"/>
    <col min="14595" max="14595" width="13.7265625" style="1" bestFit="1" customWidth="1"/>
    <col min="14596" max="14596" width="16.81640625" style="1" customWidth="1"/>
    <col min="14597" max="14597" width="8.81640625" style="1" bestFit="1" customWidth="1"/>
    <col min="14598" max="14598" width="13.7265625" style="1" bestFit="1" customWidth="1"/>
    <col min="14599" max="14599" width="17.26953125" style="1" customWidth="1"/>
    <col min="14600" max="14600" width="11.453125" style="1"/>
    <col min="14601" max="14609" width="17.7265625" style="1" customWidth="1"/>
    <col min="14610" max="14616" width="18.7265625" style="1" customWidth="1"/>
    <col min="14617" max="14625" width="17.7265625" style="1" customWidth="1"/>
    <col min="14626" max="14632" width="18.7265625" style="1" customWidth="1"/>
    <col min="14633" max="14641" width="17.7265625" style="1" customWidth="1"/>
    <col min="14642" max="14648" width="18.7265625" style="1" customWidth="1"/>
    <col min="14649" max="14657" width="17.7265625" style="1" customWidth="1"/>
    <col min="14658" max="14664" width="18.7265625" style="1" customWidth="1"/>
    <col min="14665" max="14673" width="17.54296875" style="1" customWidth="1"/>
    <col min="14674" max="14680" width="18.54296875" style="1" customWidth="1"/>
    <col min="14681" max="14689" width="17.54296875" style="1" bestFit="1" customWidth="1"/>
    <col min="14690" max="14696" width="18.54296875" style="1" bestFit="1" customWidth="1"/>
    <col min="14697" max="14848" width="11.453125" style="1"/>
    <col min="14849" max="14849" width="45.54296875" style="1" customWidth="1"/>
    <col min="14850" max="14850" width="8.81640625" style="1" bestFit="1" customWidth="1"/>
    <col min="14851" max="14851" width="13.7265625" style="1" bestFit="1" customWidth="1"/>
    <col min="14852" max="14852" width="16.81640625" style="1" customWidth="1"/>
    <col min="14853" max="14853" width="8.81640625" style="1" bestFit="1" customWidth="1"/>
    <col min="14854" max="14854" width="13.7265625" style="1" bestFit="1" customWidth="1"/>
    <col min="14855" max="14855" width="17.26953125" style="1" customWidth="1"/>
    <col min="14856" max="14856" width="11.453125" style="1"/>
    <col min="14857" max="14865" width="17.7265625" style="1" customWidth="1"/>
    <col min="14866" max="14872" width="18.7265625" style="1" customWidth="1"/>
    <col min="14873" max="14881" width="17.7265625" style="1" customWidth="1"/>
    <col min="14882" max="14888" width="18.7265625" style="1" customWidth="1"/>
    <col min="14889" max="14897" width="17.7265625" style="1" customWidth="1"/>
    <col min="14898" max="14904" width="18.7265625" style="1" customWidth="1"/>
    <col min="14905" max="14913" width="17.7265625" style="1" customWidth="1"/>
    <col min="14914" max="14920" width="18.7265625" style="1" customWidth="1"/>
    <col min="14921" max="14929" width="17.54296875" style="1" customWidth="1"/>
    <col min="14930" max="14936" width="18.54296875" style="1" customWidth="1"/>
    <col min="14937" max="14945" width="17.54296875" style="1" bestFit="1" customWidth="1"/>
    <col min="14946" max="14952" width="18.54296875" style="1" bestFit="1" customWidth="1"/>
    <col min="14953" max="15104" width="11.453125" style="1"/>
    <col min="15105" max="15105" width="45.54296875" style="1" customWidth="1"/>
    <col min="15106" max="15106" width="8.81640625" style="1" bestFit="1" customWidth="1"/>
    <col min="15107" max="15107" width="13.7265625" style="1" bestFit="1" customWidth="1"/>
    <col min="15108" max="15108" width="16.81640625" style="1" customWidth="1"/>
    <col min="15109" max="15109" width="8.81640625" style="1" bestFit="1" customWidth="1"/>
    <col min="15110" max="15110" width="13.7265625" style="1" bestFit="1" customWidth="1"/>
    <col min="15111" max="15111" width="17.26953125" style="1" customWidth="1"/>
    <col min="15112" max="15112" width="11.453125" style="1"/>
    <col min="15113" max="15121" width="17.7265625" style="1" customWidth="1"/>
    <col min="15122" max="15128" width="18.7265625" style="1" customWidth="1"/>
    <col min="15129" max="15137" width="17.7265625" style="1" customWidth="1"/>
    <col min="15138" max="15144" width="18.7265625" style="1" customWidth="1"/>
    <col min="15145" max="15153" width="17.7265625" style="1" customWidth="1"/>
    <col min="15154" max="15160" width="18.7265625" style="1" customWidth="1"/>
    <col min="15161" max="15169" width="17.7265625" style="1" customWidth="1"/>
    <col min="15170" max="15176" width="18.7265625" style="1" customWidth="1"/>
    <col min="15177" max="15185" width="17.54296875" style="1" customWidth="1"/>
    <col min="15186" max="15192" width="18.54296875" style="1" customWidth="1"/>
    <col min="15193" max="15201" width="17.54296875" style="1" bestFit="1" customWidth="1"/>
    <col min="15202" max="15208" width="18.54296875" style="1" bestFit="1" customWidth="1"/>
    <col min="15209" max="15360" width="11.453125" style="1"/>
    <col min="15361" max="15361" width="45.54296875" style="1" customWidth="1"/>
    <col min="15362" max="15362" width="8.81640625" style="1" bestFit="1" customWidth="1"/>
    <col min="15363" max="15363" width="13.7265625" style="1" bestFit="1" customWidth="1"/>
    <col min="15364" max="15364" width="16.81640625" style="1" customWidth="1"/>
    <col min="15365" max="15365" width="8.81640625" style="1" bestFit="1" customWidth="1"/>
    <col min="15366" max="15366" width="13.7265625" style="1" bestFit="1" customWidth="1"/>
    <col min="15367" max="15367" width="17.26953125" style="1" customWidth="1"/>
    <col min="15368" max="15368" width="11.453125" style="1"/>
    <col min="15369" max="15377" width="17.7265625" style="1" customWidth="1"/>
    <col min="15378" max="15384" width="18.7265625" style="1" customWidth="1"/>
    <col min="15385" max="15393" width="17.7265625" style="1" customWidth="1"/>
    <col min="15394" max="15400" width="18.7265625" style="1" customWidth="1"/>
    <col min="15401" max="15409" width="17.7265625" style="1" customWidth="1"/>
    <col min="15410" max="15416" width="18.7265625" style="1" customWidth="1"/>
    <col min="15417" max="15425" width="17.7265625" style="1" customWidth="1"/>
    <col min="15426" max="15432" width="18.7265625" style="1" customWidth="1"/>
    <col min="15433" max="15441" width="17.54296875" style="1" customWidth="1"/>
    <col min="15442" max="15448" width="18.54296875" style="1" customWidth="1"/>
    <col min="15449" max="15457" width="17.54296875" style="1" bestFit="1" customWidth="1"/>
    <col min="15458" max="15464" width="18.54296875" style="1" bestFit="1" customWidth="1"/>
    <col min="15465" max="15616" width="11.453125" style="1"/>
    <col min="15617" max="15617" width="45.54296875" style="1" customWidth="1"/>
    <col min="15618" max="15618" width="8.81640625" style="1" bestFit="1" customWidth="1"/>
    <col min="15619" max="15619" width="13.7265625" style="1" bestFit="1" customWidth="1"/>
    <col min="15620" max="15620" width="16.81640625" style="1" customWidth="1"/>
    <col min="15621" max="15621" width="8.81640625" style="1" bestFit="1" customWidth="1"/>
    <col min="15622" max="15622" width="13.7265625" style="1" bestFit="1" customWidth="1"/>
    <col min="15623" max="15623" width="17.26953125" style="1" customWidth="1"/>
    <col min="15624" max="15624" width="11.453125" style="1"/>
    <col min="15625" max="15633" width="17.7265625" style="1" customWidth="1"/>
    <col min="15634" max="15640" width="18.7265625" style="1" customWidth="1"/>
    <col min="15641" max="15649" width="17.7265625" style="1" customWidth="1"/>
    <col min="15650" max="15656" width="18.7265625" style="1" customWidth="1"/>
    <col min="15657" max="15665" width="17.7265625" style="1" customWidth="1"/>
    <col min="15666" max="15672" width="18.7265625" style="1" customWidth="1"/>
    <col min="15673" max="15681" width="17.7265625" style="1" customWidth="1"/>
    <col min="15682" max="15688" width="18.7265625" style="1" customWidth="1"/>
    <col min="15689" max="15697" width="17.54296875" style="1" customWidth="1"/>
    <col min="15698" max="15704" width="18.54296875" style="1" customWidth="1"/>
    <col min="15705" max="15713" width="17.54296875" style="1" bestFit="1" customWidth="1"/>
    <col min="15714" max="15720" width="18.54296875" style="1" bestFit="1" customWidth="1"/>
    <col min="15721" max="15872" width="11.453125" style="1"/>
    <col min="15873" max="15873" width="45.54296875" style="1" customWidth="1"/>
    <col min="15874" max="15874" width="8.81640625" style="1" bestFit="1" customWidth="1"/>
    <col min="15875" max="15875" width="13.7265625" style="1" bestFit="1" customWidth="1"/>
    <col min="15876" max="15876" width="16.81640625" style="1" customWidth="1"/>
    <col min="15877" max="15877" width="8.81640625" style="1" bestFit="1" customWidth="1"/>
    <col min="15878" max="15878" width="13.7265625" style="1" bestFit="1" customWidth="1"/>
    <col min="15879" max="15879" width="17.26953125" style="1" customWidth="1"/>
    <col min="15880" max="15880" width="11.453125" style="1"/>
    <col min="15881" max="15889" width="17.7265625" style="1" customWidth="1"/>
    <col min="15890" max="15896" width="18.7265625" style="1" customWidth="1"/>
    <col min="15897" max="15905" width="17.7265625" style="1" customWidth="1"/>
    <col min="15906" max="15912" width="18.7265625" style="1" customWidth="1"/>
    <col min="15913" max="15921" width="17.7265625" style="1" customWidth="1"/>
    <col min="15922" max="15928" width="18.7265625" style="1" customWidth="1"/>
    <col min="15929" max="15937" width="17.7265625" style="1" customWidth="1"/>
    <col min="15938" max="15944" width="18.7265625" style="1" customWidth="1"/>
    <col min="15945" max="15953" width="17.54296875" style="1" customWidth="1"/>
    <col min="15954" max="15960" width="18.54296875" style="1" customWidth="1"/>
    <col min="15961" max="15969" width="17.54296875" style="1" bestFit="1" customWidth="1"/>
    <col min="15970" max="15976" width="18.54296875" style="1" bestFit="1" customWidth="1"/>
    <col min="15977" max="16128" width="11.453125" style="1"/>
    <col min="16129" max="16129" width="45.54296875" style="1" customWidth="1"/>
    <col min="16130" max="16130" width="8.81640625" style="1" bestFit="1" customWidth="1"/>
    <col min="16131" max="16131" width="13.7265625" style="1" bestFit="1" customWidth="1"/>
    <col min="16132" max="16132" width="16.81640625" style="1" customWidth="1"/>
    <col min="16133" max="16133" width="8.81640625" style="1" bestFit="1" customWidth="1"/>
    <col min="16134" max="16134" width="13.7265625" style="1" bestFit="1" customWidth="1"/>
    <col min="16135" max="16135" width="17.26953125" style="1" customWidth="1"/>
    <col min="16136" max="16136" width="11.453125" style="1"/>
    <col min="16137" max="16145" width="17.7265625" style="1" customWidth="1"/>
    <col min="16146" max="16152" width="18.7265625" style="1" customWidth="1"/>
    <col min="16153" max="16161" width="17.7265625" style="1" customWidth="1"/>
    <col min="16162" max="16168" width="18.7265625" style="1" customWidth="1"/>
    <col min="16169" max="16177" width="17.7265625" style="1" customWidth="1"/>
    <col min="16178" max="16184" width="18.7265625" style="1" customWidth="1"/>
    <col min="16185" max="16193" width="17.7265625" style="1" customWidth="1"/>
    <col min="16194" max="16200" width="18.7265625" style="1" customWidth="1"/>
    <col min="16201" max="16209" width="17.54296875" style="1" customWidth="1"/>
    <col min="16210" max="16216" width="18.54296875" style="1" customWidth="1"/>
    <col min="16217" max="16225" width="17.54296875" style="1" bestFit="1" customWidth="1"/>
    <col min="16226" max="16232" width="18.54296875" style="1" bestFit="1" customWidth="1"/>
    <col min="16233" max="16384" width="11.453125" style="1"/>
  </cols>
  <sheetData>
    <row r="1" spans="1:104" ht="18" customHeight="1" thickBot="1" x14ac:dyDescent="0.35">
      <c r="G1" s="2" t="s">
        <v>0</v>
      </c>
    </row>
    <row r="3" spans="1:104" ht="23.5" x14ac:dyDescent="0.55000000000000004">
      <c r="A3" s="783" t="s">
        <v>1</v>
      </c>
      <c r="B3" s="783"/>
      <c r="C3" s="783"/>
      <c r="D3" s="783"/>
      <c r="E3" s="783"/>
      <c r="F3" s="783"/>
      <c r="G3" s="783"/>
    </row>
    <row r="4" spans="1:104" ht="23.5" x14ac:dyDescent="0.55000000000000004">
      <c r="A4" s="783" t="s">
        <v>2</v>
      </c>
      <c r="B4" s="783"/>
      <c r="C4" s="783"/>
      <c r="D4" s="783"/>
      <c r="E4" s="783"/>
      <c r="F4" s="783"/>
      <c r="G4" s="783"/>
    </row>
    <row r="5" spans="1:104" ht="23.5" x14ac:dyDescent="0.55000000000000004">
      <c r="A5" s="783" t="s">
        <v>3</v>
      </c>
      <c r="B5" s="783"/>
      <c r="C5" s="783"/>
      <c r="D5" s="783"/>
      <c r="E5" s="783"/>
      <c r="F5" s="783"/>
      <c r="G5" s="783"/>
    </row>
    <row r="6" spans="1:104" ht="18.5" x14ac:dyDescent="0.45">
      <c r="A6" s="784" t="s">
        <v>74</v>
      </c>
      <c r="B6" s="784"/>
      <c r="C6" s="784"/>
      <c r="D6" s="784"/>
      <c r="E6" s="784"/>
      <c r="F6" s="784"/>
      <c r="G6" s="784"/>
    </row>
    <row r="7" spans="1:104" ht="18.5" x14ac:dyDescent="0.45">
      <c r="A7" s="784" t="s">
        <v>4</v>
      </c>
      <c r="B7" s="784"/>
      <c r="C7" s="784"/>
      <c r="D7" s="784"/>
      <c r="E7" s="784"/>
      <c r="F7" s="784"/>
      <c r="G7" s="784"/>
    </row>
    <row r="9" spans="1:104" ht="13.5" thickBot="1" x14ac:dyDescent="0.35"/>
    <row r="10" spans="1:104" ht="13.5" thickBot="1" x14ac:dyDescent="0.35">
      <c r="A10" s="777" t="s">
        <v>5</v>
      </c>
      <c r="B10" s="780" t="s">
        <v>6</v>
      </c>
      <c r="C10" s="781"/>
      <c r="D10" s="782"/>
      <c r="E10" s="780" t="s">
        <v>7</v>
      </c>
      <c r="F10" s="781"/>
      <c r="G10" s="782"/>
    </row>
    <row r="11" spans="1:104" x14ac:dyDescent="0.3">
      <c r="A11" s="778"/>
      <c r="B11" s="3" t="s">
        <v>8</v>
      </c>
      <c r="C11" s="3" t="s">
        <v>8</v>
      </c>
      <c r="D11" s="4"/>
      <c r="E11" s="3" t="s">
        <v>8</v>
      </c>
      <c r="F11" s="3" t="s">
        <v>8</v>
      </c>
      <c r="G11" s="4"/>
    </row>
    <row r="12" spans="1:104" ht="13.5" thickBot="1" x14ac:dyDescent="0.35">
      <c r="A12" s="779"/>
      <c r="B12" s="5" t="s">
        <v>9</v>
      </c>
      <c r="C12" s="5" t="s">
        <v>10</v>
      </c>
      <c r="D12" s="5" t="s">
        <v>11</v>
      </c>
      <c r="E12" s="5" t="s">
        <v>9</v>
      </c>
      <c r="F12" s="5" t="s">
        <v>10</v>
      </c>
      <c r="G12" s="5" t="s">
        <v>11</v>
      </c>
    </row>
    <row r="13" spans="1:104" x14ac:dyDescent="0.3">
      <c r="A13" s="6"/>
      <c r="B13" s="6"/>
      <c r="C13" s="6"/>
      <c r="D13" s="6"/>
      <c r="E13" s="6"/>
      <c r="F13" s="6"/>
      <c r="G13" s="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4" x14ac:dyDescent="0.3">
      <c r="A14" s="8" t="s">
        <v>12</v>
      </c>
      <c r="B14" s="9">
        <v>13166</v>
      </c>
      <c r="C14" s="9">
        <v>282094</v>
      </c>
      <c r="D14" s="9">
        <v>10459155912.299999</v>
      </c>
      <c r="E14" s="9">
        <v>28768</v>
      </c>
      <c r="F14" s="9">
        <v>169936</v>
      </c>
      <c r="G14" s="9">
        <v>23603533054.990002</v>
      </c>
    </row>
    <row r="15" spans="1:104" x14ac:dyDescent="0.3">
      <c r="A15" s="6"/>
      <c r="B15" s="10"/>
      <c r="C15" s="10"/>
      <c r="D15" s="10"/>
      <c r="E15" s="10"/>
      <c r="F15" s="10"/>
      <c r="G15" s="10"/>
    </row>
    <row r="16" spans="1:104" x14ac:dyDescent="0.3">
      <c r="A16" s="11" t="s">
        <v>13</v>
      </c>
      <c r="B16" s="9">
        <v>1368</v>
      </c>
      <c r="C16" s="9">
        <v>151642</v>
      </c>
      <c r="D16" s="9">
        <v>1903673705.8</v>
      </c>
      <c r="E16" s="9">
        <v>4195</v>
      </c>
      <c r="F16" s="9">
        <v>65463</v>
      </c>
      <c r="G16" s="9">
        <v>9977789522.6399994</v>
      </c>
    </row>
    <row r="17" spans="1:9" x14ac:dyDescent="0.3">
      <c r="A17" s="6"/>
      <c r="B17" s="10"/>
      <c r="C17" s="10"/>
      <c r="D17" s="10"/>
      <c r="E17" s="10"/>
      <c r="F17" s="10"/>
      <c r="G17" s="10"/>
    </row>
    <row r="18" spans="1:9" x14ac:dyDescent="0.3">
      <c r="A18" s="6" t="s">
        <v>14</v>
      </c>
      <c r="B18" s="10">
        <v>1159</v>
      </c>
      <c r="C18" s="10">
        <v>25545</v>
      </c>
      <c r="D18" s="10">
        <v>960468676.50999999</v>
      </c>
      <c r="E18" s="10">
        <v>4168</v>
      </c>
      <c r="F18" s="10">
        <v>35833</v>
      </c>
      <c r="G18" s="10">
        <v>4843374823.04</v>
      </c>
    </row>
    <row r="19" spans="1:9" x14ac:dyDescent="0.3">
      <c r="A19" s="12" t="s">
        <v>15</v>
      </c>
      <c r="B19" s="10">
        <v>0</v>
      </c>
      <c r="C19" s="10">
        <v>103671</v>
      </c>
      <c r="D19" s="10">
        <v>377807693.76999998</v>
      </c>
      <c r="E19" s="10">
        <v>0</v>
      </c>
      <c r="F19" s="10">
        <v>27755</v>
      </c>
      <c r="G19" s="10">
        <v>4467779242.79</v>
      </c>
    </row>
    <row r="20" spans="1:9" x14ac:dyDescent="0.3">
      <c r="A20" s="6" t="s">
        <v>16</v>
      </c>
      <c r="B20" s="10">
        <v>0</v>
      </c>
      <c r="C20" s="10">
        <v>0</v>
      </c>
      <c r="D20" s="10">
        <v>1730799.57</v>
      </c>
      <c r="E20" s="10">
        <v>0</v>
      </c>
      <c r="F20" s="10">
        <v>0</v>
      </c>
      <c r="G20" s="10">
        <v>531159879.55000001</v>
      </c>
    </row>
    <row r="21" spans="1:9" x14ac:dyDescent="0.3">
      <c r="A21" s="6" t="s">
        <v>17</v>
      </c>
      <c r="B21" s="10">
        <v>209</v>
      </c>
      <c r="C21" s="10">
        <v>22426</v>
      </c>
      <c r="D21" s="10">
        <v>563666535.95000005</v>
      </c>
      <c r="E21" s="10">
        <v>27</v>
      </c>
      <c r="F21" s="10">
        <v>1875</v>
      </c>
      <c r="G21" s="10">
        <v>135475577.26000002</v>
      </c>
    </row>
    <row r="22" spans="1:9" x14ac:dyDescent="0.3">
      <c r="A22" s="6"/>
      <c r="B22" s="10"/>
      <c r="C22" s="10"/>
      <c r="D22" s="10"/>
      <c r="E22" s="10"/>
      <c r="F22" s="10"/>
      <c r="G22" s="10"/>
    </row>
    <row r="23" spans="1:9" x14ac:dyDescent="0.3">
      <c r="A23" s="11" t="s">
        <v>18</v>
      </c>
      <c r="B23" s="9">
        <v>7499</v>
      </c>
      <c r="C23" s="9">
        <v>100778</v>
      </c>
      <c r="D23" s="9">
        <v>1551357080.8299999</v>
      </c>
      <c r="E23" s="9">
        <v>9464</v>
      </c>
      <c r="F23" s="9">
        <v>74774</v>
      </c>
      <c r="G23" s="9">
        <v>9021755898.8800011</v>
      </c>
    </row>
    <row r="24" spans="1:9" x14ac:dyDescent="0.3">
      <c r="A24" s="6"/>
      <c r="B24" s="10"/>
      <c r="C24" s="10"/>
      <c r="D24" s="10"/>
      <c r="E24" s="10"/>
      <c r="F24" s="10"/>
      <c r="G24" s="10"/>
    </row>
    <row r="25" spans="1:9" x14ac:dyDescent="0.3">
      <c r="A25" s="6" t="s">
        <v>19</v>
      </c>
      <c r="B25" s="10">
        <v>9</v>
      </c>
      <c r="C25" s="10">
        <v>25</v>
      </c>
      <c r="D25" s="10">
        <v>39456.6</v>
      </c>
      <c r="E25" s="10">
        <v>50</v>
      </c>
      <c r="F25" s="10">
        <v>12968</v>
      </c>
      <c r="G25" s="10">
        <v>27806419.280000001</v>
      </c>
    </row>
    <row r="26" spans="1:9" x14ac:dyDescent="0.3">
      <c r="A26" s="6" t="s">
        <v>20</v>
      </c>
      <c r="B26" s="10">
        <v>0</v>
      </c>
      <c r="C26" s="10">
        <v>0</v>
      </c>
      <c r="D26" s="10">
        <v>6075304.8200000003</v>
      </c>
      <c r="E26" s="10">
        <v>0</v>
      </c>
      <c r="F26" s="10">
        <v>0</v>
      </c>
      <c r="G26" s="10">
        <v>461886259.44999999</v>
      </c>
    </row>
    <row r="27" spans="1:9" x14ac:dyDescent="0.3">
      <c r="A27" s="6" t="s">
        <v>21</v>
      </c>
      <c r="B27" s="10">
        <v>905</v>
      </c>
      <c r="C27" s="10">
        <v>6375</v>
      </c>
      <c r="D27" s="10">
        <v>279100672.30000001</v>
      </c>
      <c r="E27" s="10">
        <v>2321</v>
      </c>
      <c r="F27" s="10">
        <v>12697</v>
      </c>
      <c r="G27" s="10">
        <v>2681590286.1999998</v>
      </c>
    </row>
    <row r="28" spans="1:9" x14ac:dyDescent="0.3">
      <c r="A28" s="6" t="s">
        <v>22</v>
      </c>
      <c r="B28" s="10">
        <v>0</v>
      </c>
      <c r="C28" s="10">
        <v>12537</v>
      </c>
      <c r="D28" s="10">
        <v>158709955.56999999</v>
      </c>
      <c r="E28" s="10">
        <v>0</v>
      </c>
      <c r="F28" s="10">
        <v>7639</v>
      </c>
      <c r="G28" s="10">
        <v>2236374410.23</v>
      </c>
      <c r="I28" s="39"/>
    </row>
    <row r="29" spans="1:9" x14ac:dyDescent="0.3">
      <c r="A29" s="6" t="s">
        <v>23</v>
      </c>
      <c r="B29" s="10">
        <v>6275</v>
      </c>
      <c r="C29" s="10">
        <v>15875</v>
      </c>
      <c r="D29" s="10">
        <v>381139942</v>
      </c>
      <c r="E29" s="10">
        <v>6506</v>
      </c>
      <c r="F29" s="10">
        <v>34502</v>
      </c>
      <c r="G29" s="10">
        <v>3169989714.8000002</v>
      </c>
    </row>
    <row r="30" spans="1:9" x14ac:dyDescent="0.3">
      <c r="A30" s="6" t="s">
        <v>24</v>
      </c>
      <c r="B30" s="10">
        <v>304</v>
      </c>
      <c r="C30" s="10">
        <v>36834</v>
      </c>
      <c r="D30" s="10">
        <v>439985578.43000001</v>
      </c>
      <c r="E30" s="10">
        <v>577</v>
      </c>
      <c r="F30" s="10">
        <v>6967</v>
      </c>
      <c r="G30" s="10">
        <v>440539366.81</v>
      </c>
    </row>
    <row r="31" spans="1:9" x14ac:dyDescent="0.3">
      <c r="A31" s="6" t="s">
        <v>25</v>
      </c>
      <c r="B31" s="10">
        <v>0</v>
      </c>
      <c r="C31" s="10">
        <v>0</v>
      </c>
      <c r="D31" s="10">
        <v>0</v>
      </c>
      <c r="E31" s="10">
        <v>0</v>
      </c>
      <c r="F31" s="10">
        <v>0</v>
      </c>
      <c r="G31" s="10">
        <v>0</v>
      </c>
    </row>
    <row r="32" spans="1:9" x14ac:dyDescent="0.3">
      <c r="A32" s="6" t="s">
        <v>17</v>
      </c>
      <c r="B32" s="10">
        <v>6</v>
      </c>
      <c r="C32" s="10">
        <v>29132</v>
      </c>
      <c r="D32" s="10">
        <v>286306171.11000001</v>
      </c>
      <c r="E32" s="10">
        <v>10</v>
      </c>
      <c r="F32" s="10">
        <v>1</v>
      </c>
      <c r="G32" s="10">
        <v>3569442.11</v>
      </c>
    </row>
    <row r="33" spans="1:7" x14ac:dyDescent="0.3">
      <c r="A33" s="6"/>
      <c r="B33" s="10"/>
      <c r="C33" s="10"/>
      <c r="D33" s="10"/>
      <c r="E33" s="10"/>
      <c r="F33" s="10"/>
      <c r="G33" s="10"/>
    </row>
    <row r="34" spans="1:7" x14ac:dyDescent="0.3">
      <c r="A34" s="11" t="s">
        <v>26</v>
      </c>
      <c r="B34" s="9">
        <v>7035</v>
      </c>
      <c r="C34" s="9">
        <v>332958</v>
      </c>
      <c r="D34" s="9">
        <v>10811472537.269999</v>
      </c>
      <c r="E34" s="9">
        <v>23499</v>
      </c>
      <c r="F34" s="9">
        <v>160625</v>
      </c>
      <c r="G34" s="9">
        <v>24559566678.75</v>
      </c>
    </row>
    <row r="35" spans="1:7" ht="13.5" thickBot="1" x14ac:dyDescent="0.35">
      <c r="A35" s="13"/>
      <c r="B35" s="14"/>
      <c r="C35" s="14"/>
      <c r="D35" s="14"/>
      <c r="E35" s="14"/>
      <c r="F35" s="14"/>
      <c r="G35" s="14"/>
    </row>
    <row r="36" spans="1:7" x14ac:dyDescent="0.3">
      <c r="A36" s="15" t="s">
        <v>71</v>
      </c>
      <c r="D36" s="40"/>
    </row>
    <row r="37" spans="1:7" x14ac:dyDescent="0.3">
      <c r="A37" s="15" t="s">
        <v>28</v>
      </c>
      <c r="D37" s="16"/>
      <c r="G37" s="16"/>
    </row>
    <row r="38" spans="1:7" x14ac:dyDescent="0.3">
      <c r="A38" s="15" t="s">
        <v>29</v>
      </c>
    </row>
    <row r="39" spans="1:7" x14ac:dyDescent="0.3">
      <c r="A39" s="15" t="s">
        <v>75</v>
      </c>
    </row>
    <row r="40" spans="1:7" x14ac:dyDescent="0.3">
      <c r="A40" s="15" t="s">
        <v>30</v>
      </c>
      <c r="B40" s="17"/>
      <c r="C40" s="17"/>
      <c r="D40" s="18"/>
      <c r="E40" s="17"/>
      <c r="F40" s="17"/>
      <c r="G40" s="17"/>
    </row>
  </sheetData>
  <mergeCells count="8">
    <mergeCell ref="A10:A12"/>
    <mergeCell ref="B10:D10"/>
    <mergeCell ref="E10:G10"/>
    <mergeCell ref="A3:G3"/>
    <mergeCell ref="A4:G4"/>
    <mergeCell ref="A5:G5"/>
    <mergeCell ref="A6:G6"/>
    <mergeCell ref="A7: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3:X79"/>
  <sheetViews>
    <sheetView topLeftCell="A14" workbookViewId="0">
      <selection activeCell="E28" sqref="E28"/>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c r="L7" s="689"/>
      <c r="M7" s="689"/>
      <c r="N7" s="689"/>
      <c r="O7" s="689"/>
    </row>
    <row r="8" spans="3:19" ht="12" customHeight="1" thickBot="1" x14ac:dyDescent="0.4"/>
    <row r="9" spans="3:19" ht="15.65" customHeight="1" thickBot="1" x14ac:dyDescent="0.4">
      <c r="C9" s="723" t="s">
        <v>245</v>
      </c>
      <c r="D9" s="725" t="s">
        <v>246</v>
      </c>
      <c r="E9" s="726"/>
      <c r="F9" s="726"/>
      <c r="G9" s="726"/>
      <c r="H9" s="727"/>
      <c r="I9" s="728" t="s">
        <v>247</v>
      </c>
      <c r="K9" s="671"/>
      <c r="L9" s="671"/>
      <c r="M9" s="671"/>
      <c r="N9" s="671"/>
      <c r="O9" s="671"/>
    </row>
    <row r="10" spans="3:19" ht="15"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customHeight="1" x14ac:dyDescent="0.35">
      <c r="C11" s="724"/>
      <c r="D11" s="731" t="s">
        <v>253</v>
      </c>
      <c r="E11" s="732"/>
      <c r="F11" s="732"/>
      <c r="G11" s="732"/>
      <c r="H11" s="728"/>
      <c r="I11" s="730"/>
      <c r="K11" s="671"/>
      <c r="L11" s="671"/>
      <c r="M11" s="671"/>
      <c r="N11" s="671"/>
      <c r="O11" s="671"/>
      <c r="P11" s="671"/>
      <c r="R11">
        <v>30</v>
      </c>
      <c r="S11">
        <f>+D16</f>
        <v>3.0288E-4</v>
      </c>
    </row>
    <row r="12" spans="3:19" ht="2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f>IF(COTIZADOR!D18="HOMBRE",1,2)</f>
        <v>1</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f ca="1">COTIZADOR!D16</f>
        <v>57</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f>IF(COTIZADOR!D12&lt;250000,50000,500000)</f>
        <v>50000</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f ca="1">+IF(D21=1,IF(D24=K10,VLOOKUP(D22,'ANEXO No.1'!B11:G76,2),IF('Titu B'!D24='Titu B'!L10,VLOOKUP(D22,'ANEXO No.1'!B11:G76,3),IF('Titu B'!D24='Titu B'!M10,VLOOKUP(D22,'ANEXO No.1'!B11:G76,4),IF('Titu B'!D24='Titu B'!N10,VLOOKUP(D22,'ANEXO No.1'!B11:G76,5),IF('Titu B'!D24='Titu B'!O10,VLOOKUP(D22,'ANEXO No.1'!B11:G76,6))))))*D24,IF(D24=K10,VLOOKUP(D22,'ANEXO No.1'!B11:G76,2),IF('Titu B'!D24='Titu B'!L10,VLOOKUP(D22,'ANEXO No.1'!B11:G76,3),IF('Titu B'!D24='Titu B'!M10,VLOOKUP(D22,'ANEXO No.1'!B11:G76,4),IF('Titu B'!D24='Titu B'!N10,VLOOKUP(D22,'ANEXO No.1'!B11:G76,5),IF('Titu B'!D24='Titu B'!O10,VLOOKUP(D22,'ANEXO No.1'!B11:G76,6))))))*D24*1.15)</f>
        <v>279.9940000000002</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f ca="1">SUM(E26:E29)</f>
        <v>279.9940000000002</v>
      </c>
      <c r="F30" s="639">
        <f ca="1">E30/(1-0.4)</f>
        <v>466.65666666666704</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f ca="1">+F30</f>
        <v>466.65666666666704</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Z40"/>
  <sheetViews>
    <sheetView topLeftCell="A13" workbookViewId="0">
      <selection activeCell="B9" sqref="B9:G11"/>
    </sheetView>
  </sheetViews>
  <sheetFormatPr baseColWidth="10" defaultColWidth="11.453125" defaultRowHeight="13" x14ac:dyDescent="0.3"/>
  <cols>
    <col min="1" max="1" width="45.54296875" style="1" customWidth="1"/>
    <col min="2" max="2" width="8.81640625" style="1" bestFit="1" customWidth="1"/>
    <col min="3" max="3" width="13.7265625" style="1" bestFit="1" customWidth="1"/>
    <col min="4" max="4" width="16.81640625" style="1" customWidth="1"/>
    <col min="5" max="5" width="8.81640625" style="1" bestFit="1" customWidth="1"/>
    <col min="6" max="6" width="13.7265625" style="1" bestFit="1" customWidth="1"/>
    <col min="7" max="7" width="17.26953125" style="1" customWidth="1"/>
    <col min="8" max="8" width="15.81640625" style="1" bestFit="1" customWidth="1"/>
    <col min="9" max="17" width="17.7265625" style="1" customWidth="1"/>
    <col min="18" max="24" width="18.7265625" style="1" customWidth="1"/>
    <col min="25" max="33" width="17.7265625" style="1" customWidth="1"/>
    <col min="34" max="40" width="18.7265625" style="1" customWidth="1"/>
    <col min="41" max="49" width="17.7265625" style="1" customWidth="1"/>
    <col min="50" max="56" width="18.7265625" style="1" customWidth="1"/>
    <col min="57" max="65" width="17.7265625" style="1" customWidth="1"/>
    <col min="66" max="72" width="18.7265625" style="1" customWidth="1"/>
    <col min="73" max="81" width="17.54296875" style="1" customWidth="1"/>
    <col min="82" max="88" width="18.54296875" style="1" customWidth="1"/>
    <col min="89" max="97" width="17.54296875" style="1" bestFit="1" customWidth="1"/>
    <col min="98" max="104" width="18.54296875" style="1" bestFit="1" customWidth="1"/>
    <col min="105" max="256" width="11.54296875" style="1"/>
    <col min="257" max="257" width="45.54296875" style="1" customWidth="1"/>
    <col min="258" max="258" width="8.81640625" style="1" bestFit="1" customWidth="1"/>
    <col min="259" max="259" width="13.7265625" style="1" bestFit="1" customWidth="1"/>
    <col min="260" max="260" width="16.81640625" style="1" customWidth="1"/>
    <col min="261" max="261" width="8.81640625" style="1" bestFit="1" customWidth="1"/>
    <col min="262" max="262" width="13.7265625" style="1" bestFit="1" customWidth="1"/>
    <col min="263" max="263" width="17.26953125" style="1" customWidth="1"/>
    <col min="264" max="264" width="15.81640625" style="1" bestFit="1" customWidth="1"/>
    <col min="265" max="273" width="17.7265625" style="1" customWidth="1"/>
    <col min="274" max="280" width="18.7265625" style="1" customWidth="1"/>
    <col min="281" max="289" width="17.7265625" style="1" customWidth="1"/>
    <col min="290" max="296" width="18.7265625" style="1" customWidth="1"/>
    <col min="297" max="305" width="17.7265625" style="1" customWidth="1"/>
    <col min="306" max="312" width="18.7265625" style="1" customWidth="1"/>
    <col min="313" max="321" width="17.7265625" style="1" customWidth="1"/>
    <col min="322" max="328" width="18.7265625" style="1" customWidth="1"/>
    <col min="329" max="337" width="17.54296875" style="1" customWidth="1"/>
    <col min="338" max="344" width="18.54296875" style="1" customWidth="1"/>
    <col min="345" max="353" width="17.54296875" style="1" bestFit="1" customWidth="1"/>
    <col min="354" max="360" width="18.54296875" style="1" bestFit="1" customWidth="1"/>
    <col min="361" max="512" width="11.54296875" style="1"/>
    <col min="513" max="513" width="45.54296875" style="1" customWidth="1"/>
    <col min="514" max="514" width="8.81640625" style="1" bestFit="1" customWidth="1"/>
    <col min="515" max="515" width="13.7265625" style="1" bestFit="1" customWidth="1"/>
    <col min="516" max="516" width="16.81640625" style="1" customWidth="1"/>
    <col min="517" max="517" width="8.81640625" style="1" bestFit="1" customWidth="1"/>
    <col min="518" max="518" width="13.7265625" style="1" bestFit="1" customWidth="1"/>
    <col min="519" max="519" width="17.26953125" style="1" customWidth="1"/>
    <col min="520" max="520" width="15.81640625" style="1" bestFit="1" customWidth="1"/>
    <col min="521" max="529" width="17.7265625" style="1" customWidth="1"/>
    <col min="530" max="536" width="18.7265625" style="1" customWidth="1"/>
    <col min="537" max="545" width="17.7265625" style="1" customWidth="1"/>
    <col min="546" max="552" width="18.7265625" style="1" customWidth="1"/>
    <col min="553" max="561" width="17.7265625" style="1" customWidth="1"/>
    <col min="562" max="568" width="18.7265625" style="1" customWidth="1"/>
    <col min="569" max="577" width="17.7265625" style="1" customWidth="1"/>
    <col min="578" max="584" width="18.7265625" style="1" customWidth="1"/>
    <col min="585" max="593" width="17.54296875" style="1" customWidth="1"/>
    <col min="594" max="600" width="18.54296875" style="1" customWidth="1"/>
    <col min="601" max="609" width="17.54296875" style="1" bestFit="1" customWidth="1"/>
    <col min="610" max="616" width="18.54296875" style="1" bestFit="1" customWidth="1"/>
    <col min="617" max="768" width="11.54296875" style="1"/>
    <col min="769" max="769" width="45.54296875" style="1" customWidth="1"/>
    <col min="770" max="770" width="8.81640625" style="1" bestFit="1" customWidth="1"/>
    <col min="771" max="771" width="13.7265625" style="1" bestFit="1" customWidth="1"/>
    <col min="772" max="772" width="16.81640625" style="1" customWidth="1"/>
    <col min="773" max="773" width="8.81640625" style="1" bestFit="1" customWidth="1"/>
    <col min="774" max="774" width="13.7265625" style="1" bestFit="1" customWidth="1"/>
    <col min="775" max="775" width="17.26953125" style="1" customWidth="1"/>
    <col min="776" max="776" width="15.81640625" style="1" bestFit="1" customWidth="1"/>
    <col min="777" max="785" width="17.7265625" style="1" customWidth="1"/>
    <col min="786" max="792" width="18.7265625" style="1" customWidth="1"/>
    <col min="793" max="801" width="17.7265625" style="1" customWidth="1"/>
    <col min="802" max="808" width="18.7265625" style="1" customWidth="1"/>
    <col min="809" max="817" width="17.7265625" style="1" customWidth="1"/>
    <col min="818" max="824" width="18.7265625" style="1" customWidth="1"/>
    <col min="825" max="833" width="17.7265625" style="1" customWidth="1"/>
    <col min="834" max="840" width="18.7265625" style="1" customWidth="1"/>
    <col min="841" max="849" width="17.54296875" style="1" customWidth="1"/>
    <col min="850" max="856" width="18.54296875" style="1" customWidth="1"/>
    <col min="857" max="865" width="17.54296875" style="1" bestFit="1" customWidth="1"/>
    <col min="866" max="872" width="18.54296875" style="1" bestFit="1" customWidth="1"/>
    <col min="873" max="1024" width="11.54296875" style="1"/>
    <col min="1025" max="1025" width="45.54296875" style="1" customWidth="1"/>
    <col min="1026" max="1026" width="8.81640625" style="1" bestFit="1" customWidth="1"/>
    <col min="1027" max="1027" width="13.7265625" style="1" bestFit="1" customWidth="1"/>
    <col min="1028" max="1028" width="16.81640625" style="1" customWidth="1"/>
    <col min="1029" max="1029" width="8.81640625" style="1" bestFit="1" customWidth="1"/>
    <col min="1030" max="1030" width="13.7265625" style="1" bestFit="1" customWidth="1"/>
    <col min="1031" max="1031" width="17.26953125" style="1" customWidth="1"/>
    <col min="1032" max="1032" width="15.81640625" style="1" bestFit="1" customWidth="1"/>
    <col min="1033" max="1041" width="17.7265625" style="1" customWidth="1"/>
    <col min="1042" max="1048" width="18.7265625" style="1" customWidth="1"/>
    <col min="1049" max="1057" width="17.7265625" style="1" customWidth="1"/>
    <col min="1058" max="1064" width="18.7265625" style="1" customWidth="1"/>
    <col min="1065" max="1073" width="17.7265625" style="1" customWidth="1"/>
    <col min="1074" max="1080" width="18.7265625" style="1" customWidth="1"/>
    <col min="1081" max="1089" width="17.7265625" style="1" customWidth="1"/>
    <col min="1090" max="1096" width="18.7265625" style="1" customWidth="1"/>
    <col min="1097" max="1105" width="17.54296875" style="1" customWidth="1"/>
    <col min="1106" max="1112" width="18.54296875" style="1" customWidth="1"/>
    <col min="1113" max="1121" width="17.54296875" style="1" bestFit="1" customWidth="1"/>
    <col min="1122" max="1128" width="18.54296875" style="1" bestFit="1" customWidth="1"/>
    <col min="1129" max="1280" width="11.54296875" style="1"/>
    <col min="1281" max="1281" width="45.54296875" style="1" customWidth="1"/>
    <col min="1282" max="1282" width="8.81640625" style="1" bestFit="1" customWidth="1"/>
    <col min="1283" max="1283" width="13.7265625" style="1" bestFit="1" customWidth="1"/>
    <col min="1284" max="1284" width="16.81640625" style="1" customWidth="1"/>
    <col min="1285" max="1285" width="8.81640625" style="1" bestFit="1" customWidth="1"/>
    <col min="1286" max="1286" width="13.7265625" style="1" bestFit="1" customWidth="1"/>
    <col min="1287" max="1287" width="17.26953125" style="1" customWidth="1"/>
    <col min="1288" max="1288" width="15.81640625" style="1" bestFit="1" customWidth="1"/>
    <col min="1289" max="1297" width="17.7265625" style="1" customWidth="1"/>
    <col min="1298" max="1304" width="18.7265625" style="1" customWidth="1"/>
    <col min="1305" max="1313" width="17.7265625" style="1" customWidth="1"/>
    <col min="1314" max="1320" width="18.7265625" style="1" customWidth="1"/>
    <col min="1321" max="1329" width="17.7265625" style="1" customWidth="1"/>
    <col min="1330" max="1336" width="18.7265625" style="1" customWidth="1"/>
    <col min="1337" max="1345" width="17.7265625" style="1" customWidth="1"/>
    <col min="1346" max="1352" width="18.7265625" style="1" customWidth="1"/>
    <col min="1353" max="1361" width="17.54296875" style="1" customWidth="1"/>
    <col min="1362" max="1368" width="18.54296875" style="1" customWidth="1"/>
    <col min="1369" max="1377" width="17.54296875" style="1" bestFit="1" customWidth="1"/>
    <col min="1378" max="1384" width="18.54296875" style="1" bestFit="1" customWidth="1"/>
    <col min="1385" max="1536" width="11.54296875" style="1"/>
    <col min="1537" max="1537" width="45.54296875" style="1" customWidth="1"/>
    <col min="1538" max="1538" width="8.81640625" style="1" bestFit="1" customWidth="1"/>
    <col min="1539" max="1539" width="13.7265625" style="1" bestFit="1" customWidth="1"/>
    <col min="1540" max="1540" width="16.81640625" style="1" customWidth="1"/>
    <col min="1541" max="1541" width="8.81640625" style="1" bestFit="1" customWidth="1"/>
    <col min="1542" max="1542" width="13.7265625" style="1" bestFit="1" customWidth="1"/>
    <col min="1543" max="1543" width="17.26953125" style="1" customWidth="1"/>
    <col min="1544" max="1544" width="15.81640625" style="1" bestFit="1" customWidth="1"/>
    <col min="1545" max="1553" width="17.7265625" style="1" customWidth="1"/>
    <col min="1554" max="1560" width="18.7265625" style="1" customWidth="1"/>
    <col min="1561" max="1569" width="17.7265625" style="1" customWidth="1"/>
    <col min="1570" max="1576" width="18.7265625" style="1" customWidth="1"/>
    <col min="1577" max="1585" width="17.7265625" style="1" customWidth="1"/>
    <col min="1586" max="1592" width="18.7265625" style="1" customWidth="1"/>
    <col min="1593" max="1601" width="17.7265625" style="1" customWidth="1"/>
    <col min="1602" max="1608" width="18.7265625" style="1" customWidth="1"/>
    <col min="1609" max="1617" width="17.54296875" style="1" customWidth="1"/>
    <col min="1618" max="1624" width="18.54296875" style="1" customWidth="1"/>
    <col min="1625" max="1633" width="17.54296875" style="1" bestFit="1" customWidth="1"/>
    <col min="1634" max="1640" width="18.54296875" style="1" bestFit="1" customWidth="1"/>
    <col min="1641" max="1792" width="11.54296875" style="1"/>
    <col min="1793" max="1793" width="45.54296875" style="1" customWidth="1"/>
    <col min="1794" max="1794" width="8.81640625" style="1" bestFit="1" customWidth="1"/>
    <col min="1795" max="1795" width="13.7265625" style="1" bestFit="1" customWidth="1"/>
    <col min="1796" max="1796" width="16.81640625" style="1" customWidth="1"/>
    <col min="1797" max="1797" width="8.81640625" style="1" bestFit="1" customWidth="1"/>
    <col min="1798" max="1798" width="13.7265625" style="1" bestFit="1" customWidth="1"/>
    <col min="1799" max="1799" width="17.26953125" style="1" customWidth="1"/>
    <col min="1800" max="1800" width="15.81640625" style="1" bestFit="1" customWidth="1"/>
    <col min="1801" max="1809" width="17.7265625" style="1" customWidth="1"/>
    <col min="1810" max="1816" width="18.7265625" style="1" customWidth="1"/>
    <col min="1817" max="1825" width="17.7265625" style="1" customWidth="1"/>
    <col min="1826" max="1832" width="18.7265625" style="1" customWidth="1"/>
    <col min="1833" max="1841" width="17.7265625" style="1" customWidth="1"/>
    <col min="1842" max="1848" width="18.7265625" style="1" customWidth="1"/>
    <col min="1849" max="1857" width="17.7265625" style="1" customWidth="1"/>
    <col min="1858" max="1864" width="18.7265625" style="1" customWidth="1"/>
    <col min="1865" max="1873" width="17.54296875" style="1" customWidth="1"/>
    <col min="1874" max="1880" width="18.54296875" style="1" customWidth="1"/>
    <col min="1881" max="1889" width="17.54296875" style="1" bestFit="1" customWidth="1"/>
    <col min="1890" max="1896" width="18.54296875" style="1" bestFit="1" customWidth="1"/>
    <col min="1897" max="2048" width="11.54296875" style="1"/>
    <col min="2049" max="2049" width="45.54296875" style="1" customWidth="1"/>
    <col min="2050" max="2050" width="8.81640625" style="1" bestFit="1" customWidth="1"/>
    <col min="2051" max="2051" width="13.7265625" style="1" bestFit="1" customWidth="1"/>
    <col min="2052" max="2052" width="16.81640625" style="1" customWidth="1"/>
    <col min="2053" max="2053" width="8.81640625" style="1" bestFit="1" customWidth="1"/>
    <col min="2054" max="2054" width="13.7265625" style="1" bestFit="1" customWidth="1"/>
    <col min="2055" max="2055" width="17.26953125" style="1" customWidth="1"/>
    <col min="2056" max="2056" width="15.81640625" style="1" bestFit="1" customWidth="1"/>
    <col min="2057" max="2065" width="17.7265625" style="1" customWidth="1"/>
    <col min="2066" max="2072" width="18.7265625" style="1" customWidth="1"/>
    <col min="2073" max="2081" width="17.7265625" style="1" customWidth="1"/>
    <col min="2082" max="2088" width="18.7265625" style="1" customWidth="1"/>
    <col min="2089" max="2097" width="17.7265625" style="1" customWidth="1"/>
    <col min="2098" max="2104" width="18.7265625" style="1" customWidth="1"/>
    <col min="2105" max="2113" width="17.7265625" style="1" customWidth="1"/>
    <col min="2114" max="2120" width="18.7265625" style="1" customWidth="1"/>
    <col min="2121" max="2129" width="17.54296875" style="1" customWidth="1"/>
    <col min="2130" max="2136" width="18.54296875" style="1" customWidth="1"/>
    <col min="2137" max="2145" width="17.54296875" style="1" bestFit="1" customWidth="1"/>
    <col min="2146" max="2152" width="18.54296875" style="1" bestFit="1" customWidth="1"/>
    <col min="2153" max="2304" width="11.54296875" style="1"/>
    <col min="2305" max="2305" width="45.54296875" style="1" customWidth="1"/>
    <col min="2306" max="2306" width="8.81640625" style="1" bestFit="1" customWidth="1"/>
    <col min="2307" max="2307" width="13.7265625" style="1" bestFit="1" customWidth="1"/>
    <col min="2308" max="2308" width="16.81640625" style="1" customWidth="1"/>
    <col min="2309" max="2309" width="8.81640625" style="1" bestFit="1" customWidth="1"/>
    <col min="2310" max="2310" width="13.7265625" style="1" bestFit="1" customWidth="1"/>
    <col min="2311" max="2311" width="17.26953125" style="1" customWidth="1"/>
    <col min="2312" max="2312" width="15.81640625" style="1" bestFit="1" customWidth="1"/>
    <col min="2313" max="2321" width="17.7265625" style="1" customWidth="1"/>
    <col min="2322" max="2328" width="18.7265625" style="1" customWidth="1"/>
    <col min="2329" max="2337" width="17.7265625" style="1" customWidth="1"/>
    <col min="2338" max="2344" width="18.7265625" style="1" customWidth="1"/>
    <col min="2345" max="2353" width="17.7265625" style="1" customWidth="1"/>
    <col min="2354" max="2360" width="18.7265625" style="1" customWidth="1"/>
    <col min="2361" max="2369" width="17.7265625" style="1" customWidth="1"/>
    <col min="2370" max="2376" width="18.7265625" style="1" customWidth="1"/>
    <col min="2377" max="2385" width="17.54296875" style="1" customWidth="1"/>
    <col min="2386" max="2392" width="18.54296875" style="1" customWidth="1"/>
    <col min="2393" max="2401" width="17.54296875" style="1" bestFit="1" customWidth="1"/>
    <col min="2402" max="2408" width="18.54296875" style="1" bestFit="1" customWidth="1"/>
    <col min="2409" max="2560" width="11.54296875" style="1"/>
    <col min="2561" max="2561" width="45.54296875" style="1" customWidth="1"/>
    <col min="2562" max="2562" width="8.81640625" style="1" bestFit="1" customWidth="1"/>
    <col min="2563" max="2563" width="13.7265625" style="1" bestFit="1" customWidth="1"/>
    <col min="2564" max="2564" width="16.81640625" style="1" customWidth="1"/>
    <col min="2565" max="2565" width="8.81640625" style="1" bestFit="1" customWidth="1"/>
    <col min="2566" max="2566" width="13.7265625" style="1" bestFit="1" customWidth="1"/>
    <col min="2567" max="2567" width="17.26953125" style="1" customWidth="1"/>
    <col min="2568" max="2568" width="15.81640625" style="1" bestFit="1" customWidth="1"/>
    <col min="2569" max="2577" width="17.7265625" style="1" customWidth="1"/>
    <col min="2578" max="2584" width="18.7265625" style="1" customWidth="1"/>
    <col min="2585" max="2593" width="17.7265625" style="1" customWidth="1"/>
    <col min="2594" max="2600" width="18.7265625" style="1" customWidth="1"/>
    <col min="2601" max="2609" width="17.7265625" style="1" customWidth="1"/>
    <col min="2610" max="2616" width="18.7265625" style="1" customWidth="1"/>
    <col min="2617" max="2625" width="17.7265625" style="1" customWidth="1"/>
    <col min="2626" max="2632" width="18.7265625" style="1" customWidth="1"/>
    <col min="2633" max="2641" width="17.54296875" style="1" customWidth="1"/>
    <col min="2642" max="2648" width="18.54296875" style="1" customWidth="1"/>
    <col min="2649" max="2657" width="17.54296875" style="1" bestFit="1" customWidth="1"/>
    <col min="2658" max="2664" width="18.54296875" style="1" bestFit="1" customWidth="1"/>
    <col min="2665" max="2816" width="11.54296875" style="1"/>
    <col min="2817" max="2817" width="45.54296875" style="1" customWidth="1"/>
    <col min="2818" max="2818" width="8.81640625" style="1" bestFit="1" customWidth="1"/>
    <col min="2819" max="2819" width="13.7265625" style="1" bestFit="1" customWidth="1"/>
    <col min="2820" max="2820" width="16.81640625" style="1" customWidth="1"/>
    <col min="2821" max="2821" width="8.81640625" style="1" bestFit="1" customWidth="1"/>
    <col min="2822" max="2822" width="13.7265625" style="1" bestFit="1" customWidth="1"/>
    <col min="2823" max="2823" width="17.26953125" style="1" customWidth="1"/>
    <col min="2824" max="2824" width="15.81640625" style="1" bestFit="1" customWidth="1"/>
    <col min="2825" max="2833" width="17.7265625" style="1" customWidth="1"/>
    <col min="2834" max="2840" width="18.7265625" style="1" customWidth="1"/>
    <col min="2841" max="2849" width="17.7265625" style="1" customWidth="1"/>
    <col min="2850" max="2856" width="18.7265625" style="1" customWidth="1"/>
    <col min="2857" max="2865" width="17.7265625" style="1" customWidth="1"/>
    <col min="2866" max="2872" width="18.7265625" style="1" customWidth="1"/>
    <col min="2873" max="2881" width="17.7265625" style="1" customWidth="1"/>
    <col min="2882" max="2888" width="18.7265625" style="1" customWidth="1"/>
    <col min="2889" max="2897" width="17.54296875" style="1" customWidth="1"/>
    <col min="2898" max="2904" width="18.54296875" style="1" customWidth="1"/>
    <col min="2905" max="2913" width="17.54296875" style="1" bestFit="1" customWidth="1"/>
    <col min="2914" max="2920" width="18.54296875" style="1" bestFit="1" customWidth="1"/>
    <col min="2921" max="3072" width="11.54296875" style="1"/>
    <col min="3073" max="3073" width="45.54296875" style="1" customWidth="1"/>
    <col min="3074" max="3074" width="8.81640625" style="1" bestFit="1" customWidth="1"/>
    <col min="3075" max="3075" width="13.7265625" style="1" bestFit="1" customWidth="1"/>
    <col min="3076" max="3076" width="16.81640625" style="1" customWidth="1"/>
    <col min="3077" max="3077" width="8.81640625" style="1" bestFit="1" customWidth="1"/>
    <col min="3078" max="3078" width="13.7265625" style="1" bestFit="1" customWidth="1"/>
    <col min="3079" max="3079" width="17.26953125" style="1" customWidth="1"/>
    <col min="3080" max="3080" width="15.81640625" style="1" bestFit="1" customWidth="1"/>
    <col min="3081" max="3089" width="17.7265625" style="1" customWidth="1"/>
    <col min="3090" max="3096" width="18.7265625" style="1" customWidth="1"/>
    <col min="3097" max="3105" width="17.7265625" style="1" customWidth="1"/>
    <col min="3106" max="3112" width="18.7265625" style="1" customWidth="1"/>
    <col min="3113" max="3121" width="17.7265625" style="1" customWidth="1"/>
    <col min="3122" max="3128" width="18.7265625" style="1" customWidth="1"/>
    <col min="3129" max="3137" width="17.7265625" style="1" customWidth="1"/>
    <col min="3138" max="3144" width="18.7265625" style="1" customWidth="1"/>
    <col min="3145" max="3153" width="17.54296875" style="1" customWidth="1"/>
    <col min="3154" max="3160" width="18.54296875" style="1" customWidth="1"/>
    <col min="3161" max="3169" width="17.54296875" style="1" bestFit="1" customWidth="1"/>
    <col min="3170" max="3176" width="18.54296875" style="1" bestFit="1" customWidth="1"/>
    <col min="3177" max="3328" width="11.54296875" style="1"/>
    <col min="3329" max="3329" width="45.54296875" style="1" customWidth="1"/>
    <col min="3330" max="3330" width="8.81640625" style="1" bestFit="1" customWidth="1"/>
    <col min="3331" max="3331" width="13.7265625" style="1" bestFit="1" customWidth="1"/>
    <col min="3332" max="3332" width="16.81640625" style="1" customWidth="1"/>
    <col min="3333" max="3333" width="8.81640625" style="1" bestFit="1" customWidth="1"/>
    <col min="3334" max="3334" width="13.7265625" style="1" bestFit="1" customWidth="1"/>
    <col min="3335" max="3335" width="17.26953125" style="1" customWidth="1"/>
    <col min="3336" max="3336" width="15.81640625" style="1" bestFit="1" customWidth="1"/>
    <col min="3337" max="3345" width="17.7265625" style="1" customWidth="1"/>
    <col min="3346" max="3352" width="18.7265625" style="1" customWidth="1"/>
    <col min="3353" max="3361" width="17.7265625" style="1" customWidth="1"/>
    <col min="3362" max="3368" width="18.7265625" style="1" customWidth="1"/>
    <col min="3369" max="3377" width="17.7265625" style="1" customWidth="1"/>
    <col min="3378" max="3384" width="18.7265625" style="1" customWidth="1"/>
    <col min="3385" max="3393" width="17.7265625" style="1" customWidth="1"/>
    <col min="3394" max="3400" width="18.7265625" style="1" customWidth="1"/>
    <col min="3401" max="3409" width="17.54296875" style="1" customWidth="1"/>
    <col min="3410" max="3416" width="18.54296875" style="1" customWidth="1"/>
    <col min="3417" max="3425" width="17.54296875" style="1" bestFit="1" customWidth="1"/>
    <col min="3426" max="3432" width="18.54296875" style="1" bestFit="1" customWidth="1"/>
    <col min="3433" max="3584" width="11.54296875" style="1"/>
    <col min="3585" max="3585" width="45.54296875" style="1" customWidth="1"/>
    <col min="3586" max="3586" width="8.81640625" style="1" bestFit="1" customWidth="1"/>
    <col min="3587" max="3587" width="13.7265625" style="1" bestFit="1" customWidth="1"/>
    <col min="3588" max="3588" width="16.81640625" style="1" customWidth="1"/>
    <col min="3589" max="3589" width="8.81640625" style="1" bestFit="1" customWidth="1"/>
    <col min="3590" max="3590" width="13.7265625" style="1" bestFit="1" customWidth="1"/>
    <col min="3591" max="3591" width="17.26953125" style="1" customWidth="1"/>
    <col min="3592" max="3592" width="15.81640625" style="1" bestFit="1" customWidth="1"/>
    <col min="3593" max="3601" width="17.7265625" style="1" customWidth="1"/>
    <col min="3602" max="3608" width="18.7265625" style="1" customWidth="1"/>
    <col min="3609" max="3617" width="17.7265625" style="1" customWidth="1"/>
    <col min="3618" max="3624" width="18.7265625" style="1" customWidth="1"/>
    <col min="3625" max="3633" width="17.7265625" style="1" customWidth="1"/>
    <col min="3634" max="3640" width="18.7265625" style="1" customWidth="1"/>
    <col min="3641" max="3649" width="17.7265625" style="1" customWidth="1"/>
    <col min="3650" max="3656" width="18.7265625" style="1" customWidth="1"/>
    <col min="3657" max="3665" width="17.54296875" style="1" customWidth="1"/>
    <col min="3666" max="3672" width="18.54296875" style="1" customWidth="1"/>
    <col min="3673" max="3681" width="17.54296875" style="1" bestFit="1" customWidth="1"/>
    <col min="3682" max="3688" width="18.54296875" style="1" bestFit="1" customWidth="1"/>
    <col min="3689" max="3840" width="11.54296875" style="1"/>
    <col min="3841" max="3841" width="45.54296875" style="1" customWidth="1"/>
    <col min="3842" max="3842" width="8.81640625" style="1" bestFit="1" customWidth="1"/>
    <col min="3843" max="3843" width="13.7265625" style="1" bestFit="1" customWidth="1"/>
    <col min="3844" max="3844" width="16.81640625" style="1" customWidth="1"/>
    <col min="3845" max="3845" width="8.81640625" style="1" bestFit="1" customWidth="1"/>
    <col min="3846" max="3846" width="13.7265625" style="1" bestFit="1" customWidth="1"/>
    <col min="3847" max="3847" width="17.26953125" style="1" customWidth="1"/>
    <col min="3848" max="3848" width="15.81640625" style="1" bestFit="1" customWidth="1"/>
    <col min="3849" max="3857" width="17.7265625" style="1" customWidth="1"/>
    <col min="3858" max="3864" width="18.7265625" style="1" customWidth="1"/>
    <col min="3865" max="3873" width="17.7265625" style="1" customWidth="1"/>
    <col min="3874" max="3880" width="18.7265625" style="1" customWidth="1"/>
    <col min="3881" max="3889" width="17.7265625" style="1" customWidth="1"/>
    <col min="3890" max="3896" width="18.7265625" style="1" customWidth="1"/>
    <col min="3897" max="3905" width="17.7265625" style="1" customWidth="1"/>
    <col min="3906" max="3912" width="18.7265625" style="1" customWidth="1"/>
    <col min="3913" max="3921" width="17.54296875" style="1" customWidth="1"/>
    <col min="3922" max="3928" width="18.54296875" style="1" customWidth="1"/>
    <col min="3929" max="3937" width="17.54296875" style="1" bestFit="1" customWidth="1"/>
    <col min="3938" max="3944" width="18.54296875" style="1" bestFit="1" customWidth="1"/>
    <col min="3945" max="4096" width="11.54296875" style="1"/>
    <col min="4097" max="4097" width="45.54296875" style="1" customWidth="1"/>
    <col min="4098" max="4098" width="8.81640625" style="1" bestFit="1" customWidth="1"/>
    <col min="4099" max="4099" width="13.7265625" style="1" bestFit="1" customWidth="1"/>
    <col min="4100" max="4100" width="16.81640625" style="1" customWidth="1"/>
    <col min="4101" max="4101" width="8.81640625" style="1" bestFit="1" customWidth="1"/>
    <col min="4102" max="4102" width="13.7265625" style="1" bestFit="1" customWidth="1"/>
    <col min="4103" max="4103" width="17.26953125" style="1" customWidth="1"/>
    <col min="4104" max="4104" width="15.81640625" style="1" bestFit="1" customWidth="1"/>
    <col min="4105" max="4113" width="17.7265625" style="1" customWidth="1"/>
    <col min="4114" max="4120" width="18.7265625" style="1" customWidth="1"/>
    <col min="4121" max="4129" width="17.7265625" style="1" customWidth="1"/>
    <col min="4130" max="4136" width="18.7265625" style="1" customWidth="1"/>
    <col min="4137" max="4145" width="17.7265625" style="1" customWidth="1"/>
    <col min="4146" max="4152" width="18.7265625" style="1" customWidth="1"/>
    <col min="4153" max="4161" width="17.7265625" style="1" customWidth="1"/>
    <col min="4162" max="4168" width="18.7265625" style="1" customWidth="1"/>
    <col min="4169" max="4177" width="17.54296875" style="1" customWidth="1"/>
    <col min="4178" max="4184" width="18.54296875" style="1" customWidth="1"/>
    <col min="4185" max="4193" width="17.54296875" style="1" bestFit="1" customWidth="1"/>
    <col min="4194" max="4200" width="18.54296875" style="1" bestFit="1" customWidth="1"/>
    <col min="4201" max="4352" width="11.54296875" style="1"/>
    <col min="4353" max="4353" width="45.54296875" style="1" customWidth="1"/>
    <col min="4354" max="4354" width="8.81640625" style="1" bestFit="1" customWidth="1"/>
    <col min="4355" max="4355" width="13.7265625" style="1" bestFit="1" customWidth="1"/>
    <col min="4356" max="4356" width="16.81640625" style="1" customWidth="1"/>
    <col min="4357" max="4357" width="8.81640625" style="1" bestFit="1" customWidth="1"/>
    <col min="4358" max="4358" width="13.7265625" style="1" bestFit="1" customWidth="1"/>
    <col min="4359" max="4359" width="17.26953125" style="1" customWidth="1"/>
    <col min="4360" max="4360" width="15.81640625" style="1" bestFit="1" customWidth="1"/>
    <col min="4361" max="4369" width="17.7265625" style="1" customWidth="1"/>
    <col min="4370" max="4376" width="18.7265625" style="1" customWidth="1"/>
    <col min="4377" max="4385" width="17.7265625" style="1" customWidth="1"/>
    <col min="4386" max="4392" width="18.7265625" style="1" customWidth="1"/>
    <col min="4393" max="4401" width="17.7265625" style="1" customWidth="1"/>
    <col min="4402" max="4408" width="18.7265625" style="1" customWidth="1"/>
    <col min="4409" max="4417" width="17.7265625" style="1" customWidth="1"/>
    <col min="4418" max="4424" width="18.7265625" style="1" customWidth="1"/>
    <col min="4425" max="4433" width="17.54296875" style="1" customWidth="1"/>
    <col min="4434" max="4440" width="18.54296875" style="1" customWidth="1"/>
    <col min="4441" max="4449" width="17.54296875" style="1" bestFit="1" customWidth="1"/>
    <col min="4450" max="4456" width="18.54296875" style="1" bestFit="1" customWidth="1"/>
    <col min="4457" max="4608" width="11.54296875" style="1"/>
    <col min="4609" max="4609" width="45.54296875" style="1" customWidth="1"/>
    <col min="4610" max="4610" width="8.81640625" style="1" bestFit="1" customWidth="1"/>
    <col min="4611" max="4611" width="13.7265625" style="1" bestFit="1" customWidth="1"/>
    <col min="4612" max="4612" width="16.81640625" style="1" customWidth="1"/>
    <col min="4613" max="4613" width="8.81640625" style="1" bestFit="1" customWidth="1"/>
    <col min="4614" max="4614" width="13.7265625" style="1" bestFit="1" customWidth="1"/>
    <col min="4615" max="4615" width="17.26953125" style="1" customWidth="1"/>
    <col min="4616" max="4616" width="15.81640625" style="1" bestFit="1" customWidth="1"/>
    <col min="4617" max="4625" width="17.7265625" style="1" customWidth="1"/>
    <col min="4626" max="4632" width="18.7265625" style="1" customWidth="1"/>
    <col min="4633" max="4641" width="17.7265625" style="1" customWidth="1"/>
    <col min="4642" max="4648" width="18.7265625" style="1" customWidth="1"/>
    <col min="4649" max="4657" width="17.7265625" style="1" customWidth="1"/>
    <col min="4658" max="4664" width="18.7265625" style="1" customWidth="1"/>
    <col min="4665" max="4673" width="17.7265625" style="1" customWidth="1"/>
    <col min="4674" max="4680" width="18.7265625" style="1" customWidth="1"/>
    <col min="4681" max="4689" width="17.54296875" style="1" customWidth="1"/>
    <col min="4690" max="4696" width="18.54296875" style="1" customWidth="1"/>
    <col min="4697" max="4705" width="17.54296875" style="1" bestFit="1" customWidth="1"/>
    <col min="4706" max="4712" width="18.54296875" style="1" bestFit="1" customWidth="1"/>
    <col min="4713" max="4864" width="11.54296875" style="1"/>
    <col min="4865" max="4865" width="45.54296875" style="1" customWidth="1"/>
    <col min="4866" max="4866" width="8.81640625" style="1" bestFit="1" customWidth="1"/>
    <col min="4867" max="4867" width="13.7265625" style="1" bestFit="1" customWidth="1"/>
    <col min="4868" max="4868" width="16.81640625" style="1" customWidth="1"/>
    <col min="4869" max="4869" width="8.81640625" style="1" bestFit="1" customWidth="1"/>
    <col min="4870" max="4870" width="13.7265625" style="1" bestFit="1" customWidth="1"/>
    <col min="4871" max="4871" width="17.26953125" style="1" customWidth="1"/>
    <col min="4872" max="4872" width="15.81640625" style="1" bestFit="1" customWidth="1"/>
    <col min="4873" max="4881" width="17.7265625" style="1" customWidth="1"/>
    <col min="4882" max="4888" width="18.7265625" style="1" customWidth="1"/>
    <col min="4889" max="4897" width="17.7265625" style="1" customWidth="1"/>
    <col min="4898" max="4904" width="18.7265625" style="1" customWidth="1"/>
    <col min="4905" max="4913" width="17.7265625" style="1" customWidth="1"/>
    <col min="4914" max="4920" width="18.7265625" style="1" customWidth="1"/>
    <col min="4921" max="4929" width="17.7265625" style="1" customWidth="1"/>
    <col min="4930" max="4936" width="18.7265625" style="1" customWidth="1"/>
    <col min="4937" max="4945" width="17.54296875" style="1" customWidth="1"/>
    <col min="4946" max="4952" width="18.54296875" style="1" customWidth="1"/>
    <col min="4953" max="4961" width="17.54296875" style="1" bestFit="1" customWidth="1"/>
    <col min="4962" max="4968" width="18.54296875" style="1" bestFit="1" customWidth="1"/>
    <col min="4969" max="5120" width="11.54296875" style="1"/>
    <col min="5121" max="5121" width="45.54296875" style="1" customWidth="1"/>
    <col min="5122" max="5122" width="8.81640625" style="1" bestFit="1" customWidth="1"/>
    <col min="5123" max="5123" width="13.7265625" style="1" bestFit="1" customWidth="1"/>
    <col min="5124" max="5124" width="16.81640625" style="1" customWidth="1"/>
    <col min="5125" max="5125" width="8.81640625" style="1" bestFit="1" customWidth="1"/>
    <col min="5126" max="5126" width="13.7265625" style="1" bestFit="1" customWidth="1"/>
    <col min="5127" max="5127" width="17.26953125" style="1" customWidth="1"/>
    <col min="5128" max="5128" width="15.81640625" style="1" bestFit="1" customWidth="1"/>
    <col min="5129" max="5137" width="17.7265625" style="1" customWidth="1"/>
    <col min="5138" max="5144" width="18.7265625" style="1" customWidth="1"/>
    <col min="5145" max="5153" width="17.7265625" style="1" customWidth="1"/>
    <col min="5154" max="5160" width="18.7265625" style="1" customWidth="1"/>
    <col min="5161" max="5169" width="17.7265625" style="1" customWidth="1"/>
    <col min="5170" max="5176" width="18.7265625" style="1" customWidth="1"/>
    <col min="5177" max="5185" width="17.7265625" style="1" customWidth="1"/>
    <col min="5186" max="5192" width="18.7265625" style="1" customWidth="1"/>
    <col min="5193" max="5201" width="17.54296875" style="1" customWidth="1"/>
    <col min="5202" max="5208" width="18.54296875" style="1" customWidth="1"/>
    <col min="5209" max="5217" width="17.54296875" style="1" bestFit="1" customWidth="1"/>
    <col min="5218" max="5224" width="18.54296875" style="1" bestFit="1" customWidth="1"/>
    <col min="5225" max="5376" width="11.54296875" style="1"/>
    <col min="5377" max="5377" width="45.54296875" style="1" customWidth="1"/>
    <col min="5378" max="5378" width="8.81640625" style="1" bestFit="1" customWidth="1"/>
    <col min="5379" max="5379" width="13.7265625" style="1" bestFit="1" customWidth="1"/>
    <col min="5380" max="5380" width="16.81640625" style="1" customWidth="1"/>
    <col min="5381" max="5381" width="8.81640625" style="1" bestFit="1" customWidth="1"/>
    <col min="5382" max="5382" width="13.7265625" style="1" bestFit="1" customWidth="1"/>
    <col min="5383" max="5383" width="17.26953125" style="1" customWidth="1"/>
    <col min="5384" max="5384" width="15.81640625" style="1" bestFit="1" customWidth="1"/>
    <col min="5385" max="5393" width="17.7265625" style="1" customWidth="1"/>
    <col min="5394" max="5400" width="18.7265625" style="1" customWidth="1"/>
    <col min="5401" max="5409" width="17.7265625" style="1" customWidth="1"/>
    <col min="5410" max="5416" width="18.7265625" style="1" customWidth="1"/>
    <col min="5417" max="5425" width="17.7265625" style="1" customWidth="1"/>
    <col min="5426" max="5432" width="18.7265625" style="1" customWidth="1"/>
    <col min="5433" max="5441" width="17.7265625" style="1" customWidth="1"/>
    <col min="5442" max="5448" width="18.7265625" style="1" customWidth="1"/>
    <col min="5449" max="5457" width="17.54296875" style="1" customWidth="1"/>
    <col min="5458" max="5464" width="18.54296875" style="1" customWidth="1"/>
    <col min="5465" max="5473" width="17.54296875" style="1" bestFit="1" customWidth="1"/>
    <col min="5474" max="5480" width="18.54296875" style="1" bestFit="1" customWidth="1"/>
    <col min="5481" max="5632" width="11.54296875" style="1"/>
    <col min="5633" max="5633" width="45.54296875" style="1" customWidth="1"/>
    <col min="5634" max="5634" width="8.81640625" style="1" bestFit="1" customWidth="1"/>
    <col min="5635" max="5635" width="13.7265625" style="1" bestFit="1" customWidth="1"/>
    <col min="5636" max="5636" width="16.81640625" style="1" customWidth="1"/>
    <col min="5637" max="5637" width="8.81640625" style="1" bestFit="1" customWidth="1"/>
    <col min="5638" max="5638" width="13.7265625" style="1" bestFit="1" customWidth="1"/>
    <col min="5639" max="5639" width="17.26953125" style="1" customWidth="1"/>
    <col min="5640" max="5640" width="15.81640625" style="1" bestFit="1" customWidth="1"/>
    <col min="5641" max="5649" width="17.7265625" style="1" customWidth="1"/>
    <col min="5650" max="5656" width="18.7265625" style="1" customWidth="1"/>
    <col min="5657" max="5665" width="17.7265625" style="1" customWidth="1"/>
    <col min="5666" max="5672" width="18.7265625" style="1" customWidth="1"/>
    <col min="5673" max="5681" width="17.7265625" style="1" customWidth="1"/>
    <col min="5682" max="5688" width="18.7265625" style="1" customWidth="1"/>
    <col min="5689" max="5697" width="17.7265625" style="1" customWidth="1"/>
    <col min="5698" max="5704" width="18.7265625" style="1" customWidth="1"/>
    <col min="5705" max="5713" width="17.54296875" style="1" customWidth="1"/>
    <col min="5714" max="5720" width="18.54296875" style="1" customWidth="1"/>
    <col min="5721" max="5729" width="17.54296875" style="1" bestFit="1" customWidth="1"/>
    <col min="5730" max="5736" width="18.54296875" style="1" bestFit="1" customWidth="1"/>
    <col min="5737" max="5888" width="11.54296875" style="1"/>
    <col min="5889" max="5889" width="45.54296875" style="1" customWidth="1"/>
    <col min="5890" max="5890" width="8.81640625" style="1" bestFit="1" customWidth="1"/>
    <col min="5891" max="5891" width="13.7265625" style="1" bestFit="1" customWidth="1"/>
    <col min="5892" max="5892" width="16.81640625" style="1" customWidth="1"/>
    <col min="5893" max="5893" width="8.81640625" style="1" bestFit="1" customWidth="1"/>
    <col min="5894" max="5894" width="13.7265625" style="1" bestFit="1" customWidth="1"/>
    <col min="5895" max="5895" width="17.26953125" style="1" customWidth="1"/>
    <col min="5896" max="5896" width="15.81640625" style="1" bestFit="1" customWidth="1"/>
    <col min="5897" max="5905" width="17.7265625" style="1" customWidth="1"/>
    <col min="5906" max="5912" width="18.7265625" style="1" customWidth="1"/>
    <col min="5913" max="5921" width="17.7265625" style="1" customWidth="1"/>
    <col min="5922" max="5928" width="18.7265625" style="1" customWidth="1"/>
    <col min="5929" max="5937" width="17.7265625" style="1" customWidth="1"/>
    <col min="5938" max="5944" width="18.7265625" style="1" customWidth="1"/>
    <col min="5945" max="5953" width="17.7265625" style="1" customWidth="1"/>
    <col min="5954" max="5960" width="18.7265625" style="1" customWidth="1"/>
    <col min="5961" max="5969" width="17.54296875" style="1" customWidth="1"/>
    <col min="5970" max="5976" width="18.54296875" style="1" customWidth="1"/>
    <col min="5977" max="5985" width="17.54296875" style="1" bestFit="1" customWidth="1"/>
    <col min="5986" max="5992" width="18.54296875" style="1" bestFit="1" customWidth="1"/>
    <col min="5993" max="6144" width="11.54296875" style="1"/>
    <col min="6145" max="6145" width="45.54296875" style="1" customWidth="1"/>
    <col min="6146" max="6146" width="8.81640625" style="1" bestFit="1" customWidth="1"/>
    <col min="6147" max="6147" width="13.7265625" style="1" bestFit="1" customWidth="1"/>
    <col min="6148" max="6148" width="16.81640625" style="1" customWidth="1"/>
    <col min="6149" max="6149" width="8.81640625" style="1" bestFit="1" customWidth="1"/>
    <col min="6150" max="6150" width="13.7265625" style="1" bestFit="1" customWidth="1"/>
    <col min="6151" max="6151" width="17.26953125" style="1" customWidth="1"/>
    <col min="6152" max="6152" width="15.81640625" style="1" bestFit="1" customWidth="1"/>
    <col min="6153" max="6161" width="17.7265625" style="1" customWidth="1"/>
    <col min="6162" max="6168" width="18.7265625" style="1" customWidth="1"/>
    <col min="6169" max="6177" width="17.7265625" style="1" customWidth="1"/>
    <col min="6178" max="6184" width="18.7265625" style="1" customWidth="1"/>
    <col min="6185" max="6193" width="17.7265625" style="1" customWidth="1"/>
    <col min="6194" max="6200" width="18.7265625" style="1" customWidth="1"/>
    <col min="6201" max="6209" width="17.7265625" style="1" customWidth="1"/>
    <col min="6210" max="6216" width="18.7265625" style="1" customWidth="1"/>
    <col min="6217" max="6225" width="17.54296875" style="1" customWidth="1"/>
    <col min="6226" max="6232" width="18.54296875" style="1" customWidth="1"/>
    <col min="6233" max="6241" width="17.54296875" style="1" bestFit="1" customWidth="1"/>
    <col min="6242" max="6248" width="18.54296875" style="1" bestFit="1" customWidth="1"/>
    <col min="6249" max="6400" width="11.54296875" style="1"/>
    <col min="6401" max="6401" width="45.54296875" style="1" customWidth="1"/>
    <col min="6402" max="6402" width="8.81640625" style="1" bestFit="1" customWidth="1"/>
    <col min="6403" max="6403" width="13.7265625" style="1" bestFit="1" customWidth="1"/>
    <col min="6404" max="6404" width="16.81640625" style="1" customWidth="1"/>
    <col min="6405" max="6405" width="8.81640625" style="1" bestFit="1" customWidth="1"/>
    <col min="6406" max="6406" width="13.7265625" style="1" bestFit="1" customWidth="1"/>
    <col min="6407" max="6407" width="17.26953125" style="1" customWidth="1"/>
    <col min="6408" max="6408" width="15.81640625" style="1" bestFit="1" customWidth="1"/>
    <col min="6409" max="6417" width="17.7265625" style="1" customWidth="1"/>
    <col min="6418" max="6424" width="18.7265625" style="1" customWidth="1"/>
    <col min="6425" max="6433" width="17.7265625" style="1" customWidth="1"/>
    <col min="6434" max="6440" width="18.7265625" style="1" customWidth="1"/>
    <col min="6441" max="6449" width="17.7265625" style="1" customWidth="1"/>
    <col min="6450" max="6456" width="18.7265625" style="1" customWidth="1"/>
    <col min="6457" max="6465" width="17.7265625" style="1" customWidth="1"/>
    <col min="6466" max="6472" width="18.7265625" style="1" customWidth="1"/>
    <col min="6473" max="6481" width="17.54296875" style="1" customWidth="1"/>
    <col min="6482" max="6488" width="18.54296875" style="1" customWidth="1"/>
    <col min="6489" max="6497" width="17.54296875" style="1" bestFit="1" customWidth="1"/>
    <col min="6498" max="6504" width="18.54296875" style="1" bestFit="1" customWidth="1"/>
    <col min="6505" max="6656" width="11.54296875" style="1"/>
    <col min="6657" max="6657" width="45.54296875" style="1" customWidth="1"/>
    <col min="6658" max="6658" width="8.81640625" style="1" bestFit="1" customWidth="1"/>
    <col min="6659" max="6659" width="13.7265625" style="1" bestFit="1" customWidth="1"/>
    <col min="6660" max="6660" width="16.81640625" style="1" customWidth="1"/>
    <col min="6661" max="6661" width="8.81640625" style="1" bestFit="1" customWidth="1"/>
    <col min="6662" max="6662" width="13.7265625" style="1" bestFit="1" customWidth="1"/>
    <col min="6663" max="6663" width="17.26953125" style="1" customWidth="1"/>
    <col min="6664" max="6664" width="15.81640625" style="1" bestFit="1" customWidth="1"/>
    <col min="6665" max="6673" width="17.7265625" style="1" customWidth="1"/>
    <col min="6674" max="6680" width="18.7265625" style="1" customWidth="1"/>
    <col min="6681" max="6689" width="17.7265625" style="1" customWidth="1"/>
    <col min="6690" max="6696" width="18.7265625" style="1" customWidth="1"/>
    <col min="6697" max="6705" width="17.7265625" style="1" customWidth="1"/>
    <col min="6706" max="6712" width="18.7265625" style="1" customWidth="1"/>
    <col min="6713" max="6721" width="17.7265625" style="1" customWidth="1"/>
    <col min="6722" max="6728" width="18.7265625" style="1" customWidth="1"/>
    <col min="6729" max="6737" width="17.54296875" style="1" customWidth="1"/>
    <col min="6738" max="6744" width="18.54296875" style="1" customWidth="1"/>
    <col min="6745" max="6753" width="17.54296875" style="1" bestFit="1" customWidth="1"/>
    <col min="6754" max="6760" width="18.54296875" style="1" bestFit="1" customWidth="1"/>
    <col min="6761" max="6912" width="11.54296875" style="1"/>
    <col min="6913" max="6913" width="45.54296875" style="1" customWidth="1"/>
    <col min="6914" max="6914" width="8.81640625" style="1" bestFit="1" customWidth="1"/>
    <col min="6915" max="6915" width="13.7265625" style="1" bestFit="1" customWidth="1"/>
    <col min="6916" max="6916" width="16.81640625" style="1" customWidth="1"/>
    <col min="6917" max="6917" width="8.81640625" style="1" bestFit="1" customWidth="1"/>
    <col min="6918" max="6918" width="13.7265625" style="1" bestFit="1" customWidth="1"/>
    <col min="6919" max="6919" width="17.26953125" style="1" customWidth="1"/>
    <col min="6920" max="6920" width="15.81640625" style="1" bestFit="1" customWidth="1"/>
    <col min="6921" max="6929" width="17.7265625" style="1" customWidth="1"/>
    <col min="6930" max="6936" width="18.7265625" style="1" customWidth="1"/>
    <col min="6937" max="6945" width="17.7265625" style="1" customWidth="1"/>
    <col min="6946" max="6952" width="18.7265625" style="1" customWidth="1"/>
    <col min="6953" max="6961" width="17.7265625" style="1" customWidth="1"/>
    <col min="6962" max="6968" width="18.7265625" style="1" customWidth="1"/>
    <col min="6969" max="6977" width="17.7265625" style="1" customWidth="1"/>
    <col min="6978" max="6984" width="18.7265625" style="1" customWidth="1"/>
    <col min="6985" max="6993" width="17.54296875" style="1" customWidth="1"/>
    <col min="6994" max="7000" width="18.54296875" style="1" customWidth="1"/>
    <col min="7001" max="7009" width="17.54296875" style="1" bestFit="1" customWidth="1"/>
    <col min="7010" max="7016" width="18.54296875" style="1" bestFit="1" customWidth="1"/>
    <col min="7017" max="7168" width="11.54296875" style="1"/>
    <col min="7169" max="7169" width="45.54296875" style="1" customWidth="1"/>
    <col min="7170" max="7170" width="8.81640625" style="1" bestFit="1" customWidth="1"/>
    <col min="7171" max="7171" width="13.7265625" style="1" bestFit="1" customWidth="1"/>
    <col min="7172" max="7172" width="16.81640625" style="1" customWidth="1"/>
    <col min="7173" max="7173" width="8.81640625" style="1" bestFit="1" customWidth="1"/>
    <col min="7174" max="7174" width="13.7265625" style="1" bestFit="1" customWidth="1"/>
    <col min="7175" max="7175" width="17.26953125" style="1" customWidth="1"/>
    <col min="7176" max="7176" width="15.81640625" style="1" bestFit="1" customWidth="1"/>
    <col min="7177" max="7185" width="17.7265625" style="1" customWidth="1"/>
    <col min="7186" max="7192" width="18.7265625" style="1" customWidth="1"/>
    <col min="7193" max="7201" width="17.7265625" style="1" customWidth="1"/>
    <col min="7202" max="7208" width="18.7265625" style="1" customWidth="1"/>
    <col min="7209" max="7217" width="17.7265625" style="1" customWidth="1"/>
    <col min="7218" max="7224" width="18.7265625" style="1" customWidth="1"/>
    <col min="7225" max="7233" width="17.7265625" style="1" customWidth="1"/>
    <col min="7234" max="7240" width="18.7265625" style="1" customWidth="1"/>
    <col min="7241" max="7249" width="17.54296875" style="1" customWidth="1"/>
    <col min="7250" max="7256" width="18.54296875" style="1" customWidth="1"/>
    <col min="7257" max="7265" width="17.54296875" style="1" bestFit="1" customWidth="1"/>
    <col min="7266" max="7272" width="18.54296875" style="1" bestFit="1" customWidth="1"/>
    <col min="7273" max="7424" width="11.54296875" style="1"/>
    <col min="7425" max="7425" width="45.54296875" style="1" customWidth="1"/>
    <col min="7426" max="7426" width="8.81640625" style="1" bestFit="1" customWidth="1"/>
    <col min="7427" max="7427" width="13.7265625" style="1" bestFit="1" customWidth="1"/>
    <col min="7428" max="7428" width="16.81640625" style="1" customWidth="1"/>
    <col min="7429" max="7429" width="8.81640625" style="1" bestFit="1" customWidth="1"/>
    <col min="7430" max="7430" width="13.7265625" style="1" bestFit="1" customWidth="1"/>
    <col min="7431" max="7431" width="17.26953125" style="1" customWidth="1"/>
    <col min="7432" max="7432" width="15.81640625" style="1" bestFit="1" customWidth="1"/>
    <col min="7433" max="7441" width="17.7265625" style="1" customWidth="1"/>
    <col min="7442" max="7448" width="18.7265625" style="1" customWidth="1"/>
    <col min="7449" max="7457" width="17.7265625" style="1" customWidth="1"/>
    <col min="7458" max="7464" width="18.7265625" style="1" customWidth="1"/>
    <col min="7465" max="7473" width="17.7265625" style="1" customWidth="1"/>
    <col min="7474" max="7480" width="18.7265625" style="1" customWidth="1"/>
    <col min="7481" max="7489" width="17.7265625" style="1" customWidth="1"/>
    <col min="7490" max="7496" width="18.7265625" style="1" customWidth="1"/>
    <col min="7497" max="7505" width="17.54296875" style="1" customWidth="1"/>
    <col min="7506" max="7512" width="18.54296875" style="1" customWidth="1"/>
    <col min="7513" max="7521" width="17.54296875" style="1" bestFit="1" customWidth="1"/>
    <col min="7522" max="7528" width="18.54296875" style="1" bestFit="1" customWidth="1"/>
    <col min="7529" max="7680" width="11.54296875" style="1"/>
    <col min="7681" max="7681" width="45.54296875" style="1" customWidth="1"/>
    <col min="7682" max="7682" width="8.81640625" style="1" bestFit="1" customWidth="1"/>
    <col min="7683" max="7683" width="13.7265625" style="1" bestFit="1" customWidth="1"/>
    <col min="7684" max="7684" width="16.81640625" style="1" customWidth="1"/>
    <col min="7685" max="7685" width="8.81640625" style="1" bestFit="1" customWidth="1"/>
    <col min="7686" max="7686" width="13.7265625" style="1" bestFit="1" customWidth="1"/>
    <col min="7687" max="7687" width="17.26953125" style="1" customWidth="1"/>
    <col min="7688" max="7688" width="15.81640625" style="1" bestFit="1" customWidth="1"/>
    <col min="7689" max="7697" width="17.7265625" style="1" customWidth="1"/>
    <col min="7698" max="7704" width="18.7265625" style="1" customWidth="1"/>
    <col min="7705" max="7713" width="17.7265625" style="1" customWidth="1"/>
    <col min="7714" max="7720" width="18.7265625" style="1" customWidth="1"/>
    <col min="7721" max="7729" width="17.7265625" style="1" customWidth="1"/>
    <col min="7730" max="7736" width="18.7265625" style="1" customWidth="1"/>
    <col min="7737" max="7745" width="17.7265625" style="1" customWidth="1"/>
    <col min="7746" max="7752" width="18.7265625" style="1" customWidth="1"/>
    <col min="7753" max="7761" width="17.54296875" style="1" customWidth="1"/>
    <col min="7762" max="7768" width="18.54296875" style="1" customWidth="1"/>
    <col min="7769" max="7777" width="17.54296875" style="1" bestFit="1" customWidth="1"/>
    <col min="7778" max="7784" width="18.54296875" style="1" bestFit="1" customWidth="1"/>
    <col min="7785" max="7936" width="11.54296875" style="1"/>
    <col min="7937" max="7937" width="45.54296875" style="1" customWidth="1"/>
    <col min="7938" max="7938" width="8.81640625" style="1" bestFit="1" customWidth="1"/>
    <col min="7939" max="7939" width="13.7265625" style="1" bestFit="1" customWidth="1"/>
    <col min="7940" max="7940" width="16.81640625" style="1" customWidth="1"/>
    <col min="7941" max="7941" width="8.81640625" style="1" bestFit="1" customWidth="1"/>
    <col min="7942" max="7942" width="13.7265625" style="1" bestFit="1" customWidth="1"/>
    <col min="7943" max="7943" width="17.26953125" style="1" customWidth="1"/>
    <col min="7944" max="7944" width="15.81640625" style="1" bestFit="1" customWidth="1"/>
    <col min="7945" max="7953" width="17.7265625" style="1" customWidth="1"/>
    <col min="7954" max="7960" width="18.7265625" style="1" customWidth="1"/>
    <col min="7961" max="7969" width="17.7265625" style="1" customWidth="1"/>
    <col min="7970" max="7976" width="18.7265625" style="1" customWidth="1"/>
    <col min="7977" max="7985" width="17.7265625" style="1" customWidth="1"/>
    <col min="7986" max="7992" width="18.7265625" style="1" customWidth="1"/>
    <col min="7993" max="8001" width="17.7265625" style="1" customWidth="1"/>
    <col min="8002" max="8008" width="18.7265625" style="1" customWidth="1"/>
    <col min="8009" max="8017" width="17.54296875" style="1" customWidth="1"/>
    <col min="8018" max="8024" width="18.54296875" style="1" customWidth="1"/>
    <col min="8025" max="8033" width="17.54296875" style="1" bestFit="1" customWidth="1"/>
    <col min="8034" max="8040" width="18.54296875" style="1" bestFit="1" customWidth="1"/>
    <col min="8041" max="8192" width="11.54296875" style="1"/>
    <col min="8193" max="8193" width="45.54296875" style="1" customWidth="1"/>
    <col min="8194" max="8194" width="8.81640625" style="1" bestFit="1" customWidth="1"/>
    <col min="8195" max="8195" width="13.7265625" style="1" bestFit="1" customWidth="1"/>
    <col min="8196" max="8196" width="16.81640625" style="1" customWidth="1"/>
    <col min="8197" max="8197" width="8.81640625" style="1" bestFit="1" customWidth="1"/>
    <col min="8198" max="8198" width="13.7265625" style="1" bestFit="1" customWidth="1"/>
    <col min="8199" max="8199" width="17.26953125" style="1" customWidth="1"/>
    <col min="8200" max="8200" width="15.81640625" style="1" bestFit="1" customWidth="1"/>
    <col min="8201" max="8209" width="17.7265625" style="1" customWidth="1"/>
    <col min="8210" max="8216" width="18.7265625" style="1" customWidth="1"/>
    <col min="8217" max="8225" width="17.7265625" style="1" customWidth="1"/>
    <col min="8226" max="8232" width="18.7265625" style="1" customWidth="1"/>
    <col min="8233" max="8241" width="17.7265625" style="1" customWidth="1"/>
    <col min="8242" max="8248" width="18.7265625" style="1" customWidth="1"/>
    <col min="8249" max="8257" width="17.7265625" style="1" customWidth="1"/>
    <col min="8258" max="8264" width="18.7265625" style="1" customWidth="1"/>
    <col min="8265" max="8273" width="17.54296875" style="1" customWidth="1"/>
    <col min="8274" max="8280" width="18.54296875" style="1" customWidth="1"/>
    <col min="8281" max="8289" width="17.54296875" style="1" bestFit="1" customWidth="1"/>
    <col min="8290" max="8296" width="18.54296875" style="1" bestFit="1" customWidth="1"/>
    <col min="8297" max="8448" width="11.54296875" style="1"/>
    <col min="8449" max="8449" width="45.54296875" style="1" customWidth="1"/>
    <col min="8450" max="8450" width="8.81640625" style="1" bestFit="1" customWidth="1"/>
    <col min="8451" max="8451" width="13.7265625" style="1" bestFit="1" customWidth="1"/>
    <col min="8452" max="8452" width="16.81640625" style="1" customWidth="1"/>
    <col min="8453" max="8453" width="8.81640625" style="1" bestFit="1" customWidth="1"/>
    <col min="8454" max="8454" width="13.7265625" style="1" bestFit="1" customWidth="1"/>
    <col min="8455" max="8455" width="17.26953125" style="1" customWidth="1"/>
    <col min="8456" max="8456" width="15.81640625" style="1" bestFit="1" customWidth="1"/>
    <col min="8457" max="8465" width="17.7265625" style="1" customWidth="1"/>
    <col min="8466" max="8472" width="18.7265625" style="1" customWidth="1"/>
    <col min="8473" max="8481" width="17.7265625" style="1" customWidth="1"/>
    <col min="8482" max="8488" width="18.7265625" style="1" customWidth="1"/>
    <col min="8489" max="8497" width="17.7265625" style="1" customWidth="1"/>
    <col min="8498" max="8504" width="18.7265625" style="1" customWidth="1"/>
    <col min="8505" max="8513" width="17.7265625" style="1" customWidth="1"/>
    <col min="8514" max="8520" width="18.7265625" style="1" customWidth="1"/>
    <col min="8521" max="8529" width="17.54296875" style="1" customWidth="1"/>
    <col min="8530" max="8536" width="18.54296875" style="1" customWidth="1"/>
    <col min="8537" max="8545" width="17.54296875" style="1" bestFit="1" customWidth="1"/>
    <col min="8546" max="8552" width="18.54296875" style="1" bestFit="1" customWidth="1"/>
    <col min="8553" max="8704" width="11.54296875" style="1"/>
    <col min="8705" max="8705" width="45.54296875" style="1" customWidth="1"/>
    <col min="8706" max="8706" width="8.81640625" style="1" bestFit="1" customWidth="1"/>
    <col min="8707" max="8707" width="13.7265625" style="1" bestFit="1" customWidth="1"/>
    <col min="8708" max="8708" width="16.81640625" style="1" customWidth="1"/>
    <col min="8709" max="8709" width="8.81640625" style="1" bestFit="1" customWidth="1"/>
    <col min="8710" max="8710" width="13.7265625" style="1" bestFit="1" customWidth="1"/>
    <col min="8711" max="8711" width="17.26953125" style="1" customWidth="1"/>
    <col min="8712" max="8712" width="15.81640625" style="1" bestFit="1" customWidth="1"/>
    <col min="8713" max="8721" width="17.7265625" style="1" customWidth="1"/>
    <col min="8722" max="8728" width="18.7265625" style="1" customWidth="1"/>
    <col min="8729" max="8737" width="17.7265625" style="1" customWidth="1"/>
    <col min="8738" max="8744" width="18.7265625" style="1" customWidth="1"/>
    <col min="8745" max="8753" width="17.7265625" style="1" customWidth="1"/>
    <col min="8754" max="8760" width="18.7265625" style="1" customWidth="1"/>
    <col min="8761" max="8769" width="17.7265625" style="1" customWidth="1"/>
    <col min="8770" max="8776" width="18.7265625" style="1" customWidth="1"/>
    <col min="8777" max="8785" width="17.54296875" style="1" customWidth="1"/>
    <col min="8786" max="8792" width="18.54296875" style="1" customWidth="1"/>
    <col min="8793" max="8801" width="17.54296875" style="1" bestFit="1" customWidth="1"/>
    <col min="8802" max="8808" width="18.54296875" style="1" bestFit="1" customWidth="1"/>
    <col min="8809" max="8960" width="11.54296875" style="1"/>
    <col min="8961" max="8961" width="45.54296875" style="1" customWidth="1"/>
    <col min="8962" max="8962" width="8.81640625" style="1" bestFit="1" customWidth="1"/>
    <col min="8963" max="8963" width="13.7265625" style="1" bestFit="1" customWidth="1"/>
    <col min="8964" max="8964" width="16.81640625" style="1" customWidth="1"/>
    <col min="8965" max="8965" width="8.81640625" style="1" bestFit="1" customWidth="1"/>
    <col min="8966" max="8966" width="13.7265625" style="1" bestFit="1" customWidth="1"/>
    <col min="8967" max="8967" width="17.26953125" style="1" customWidth="1"/>
    <col min="8968" max="8968" width="15.81640625" style="1" bestFit="1" customWidth="1"/>
    <col min="8969" max="8977" width="17.7265625" style="1" customWidth="1"/>
    <col min="8978" max="8984" width="18.7265625" style="1" customWidth="1"/>
    <col min="8985" max="8993" width="17.7265625" style="1" customWidth="1"/>
    <col min="8994" max="9000" width="18.7265625" style="1" customWidth="1"/>
    <col min="9001" max="9009" width="17.7265625" style="1" customWidth="1"/>
    <col min="9010" max="9016" width="18.7265625" style="1" customWidth="1"/>
    <col min="9017" max="9025" width="17.7265625" style="1" customWidth="1"/>
    <col min="9026" max="9032" width="18.7265625" style="1" customWidth="1"/>
    <col min="9033" max="9041" width="17.54296875" style="1" customWidth="1"/>
    <col min="9042" max="9048" width="18.54296875" style="1" customWidth="1"/>
    <col min="9049" max="9057" width="17.54296875" style="1" bestFit="1" customWidth="1"/>
    <col min="9058" max="9064" width="18.54296875" style="1" bestFit="1" customWidth="1"/>
    <col min="9065" max="9216" width="11.54296875" style="1"/>
    <col min="9217" max="9217" width="45.54296875" style="1" customWidth="1"/>
    <col min="9218" max="9218" width="8.81640625" style="1" bestFit="1" customWidth="1"/>
    <col min="9219" max="9219" width="13.7265625" style="1" bestFit="1" customWidth="1"/>
    <col min="9220" max="9220" width="16.81640625" style="1" customWidth="1"/>
    <col min="9221" max="9221" width="8.81640625" style="1" bestFit="1" customWidth="1"/>
    <col min="9222" max="9222" width="13.7265625" style="1" bestFit="1" customWidth="1"/>
    <col min="9223" max="9223" width="17.26953125" style="1" customWidth="1"/>
    <col min="9224" max="9224" width="15.81640625" style="1" bestFit="1" customWidth="1"/>
    <col min="9225" max="9233" width="17.7265625" style="1" customWidth="1"/>
    <col min="9234" max="9240" width="18.7265625" style="1" customWidth="1"/>
    <col min="9241" max="9249" width="17.7265625" style="1" customWidth="1"/>
    <col min="9250" max="9256" width="18.7265625" style="1" customWidth="1"/>
    <col min="9257" max="9265" width="17.7265625" style="1" customWidth="1"/>
    <col min="9266" max="9272" width="18.7265625" style="1" customWidth="1"/>
    <col min="9273" max="9281" width="17.7265625" style="1" customWidth="1"/>
    <col min="9282" max="9288" width="18.7265625" style="1" customWidth="1"/>
    <col min="9289" max="9297" width="17.54296875" style="1" customWidth="1"/>
    <col min="9298" max="9304" width="18.54296875" style="1" customWidth="1"/>
    <col min="9305" max="9313" width="17.54296875" style="1" bestFit="1" customWidth="1"/>
    <col min="9314" max="9320" width="18.54296875" style="1" bestFit="1" customWidth="1"/>
    <col min="9321" max="9472" width="11.54296875" style="1"/>
    <col min="9473" max="9473" width="45.54296875" style="1" customWidth="1"/>
    <col min="9474" max="9474" width="8.81640625" style="1" bestFit="1" customWidth="1"/>
    <col min="9475" max="9475" width="13.7265625" style="1" bestFit="1" customWidth="1"/>
    <col min="9476" max="9476" width="16.81640625" style="1" customWidth="1"/>
    <col min="9477" max="9477" width="8.81640625" style="1" bestFit="1" customWidth="1"/>
    <col min="9478" max="9478" width="13.7265625" style="1" bestFit="1" customWidth="1"/>
    <col min="9479" max="9479" width="17.26953125" style="1" customWidth="1"/>
    <col min="9480" max="9480" width="15.81640625" style="1" bestFit="1" customWidth="1"/>
    <col min="9481" max="9489" width="17.7265625" style="1" customWidth="1"/>
    <col min="9490" max="9496" width="18.7265625" style="1" customWidth="1"/>
    <col min="9497" max="9505" width="17.7265625" style="1" customWidth="1"/>
    <col min="9506" max="9512" width="18.7265625" style="1" customWidth="1"/>
    <col min="9513" max="9521" width="17.7265625" style="1" customWidth="1"/>
    <col min="9522" max="9528" width="18.7265625" style="1" customWidth="1"/>
    <col min="9529" max="9537" width="17.7265625" style="1" customWidth="1"/>
    <col min="9538" max="9544" width="18.7265625" style="1" customWidth="1"/>
    <col min="9545" max="9553" width="17.54296875" style="1" customWidth="1"/>
    <col min="9554" max="9560" width="18.54296875" style="1" customWidth="1"/>
    <col min="9561" max="9569" width="17.54296875" style="1" bestFit="1" customWidth="1"/>
    <col min="9570" max="9576" width="18.54296875" style="1" bestFit="1" customWidth="1"/>
    <col min="9577" max="9728" width="11.54296875" style="1"/>
    <col min="9729" max="9729" width="45.54296875" style="1" customWidth="1"/>
    <col min="9730" max="9730" width="8.81640625" style="1" bestFit="1" customWidth="1"/>
    <col min="9731" max="9731" width="13.7265625" style="1" bestFit="1" customWidth="1"/>
    <col min="9732" max="9732" width="16.81640625" style="1" customWidth="1"/>
    <col min="9733" max="9733" width="8.81640625" style="1" bestFit="1" customWidth="1"/>
    <col min="9734" max="9734" width="13.7265625" style="1" bestFit="1" customWidth="1"/>
    <col min="9735" max="9735" width="17.26953125" style="1" customWidth="1"/>
    <col min="9736" max="9736" width="15.81640625" style="1" bestFit="1" customWidth="1"/>
    <col min="9737" max="9745" width="17.7265625" style="1" customWidth="1"/>
    <col min="9746" max="9752" width="18.7265625" style="1" customWidth="1"/>
    <col min="9753" max="9761" width="17.7265625" style="1" customWidth="1"/>
    <col min="9762" max="9768" width="18.7265625" style="1" customWidth="1"/>
    <col min="9769" max="9777" width="17.7265625" style="1" customWidth="1"/>
    <col min="9778" max="9784" width="18.7265625" style="1" customWidth="1"/>
    <col min="9785" max="9793" width="17.7265625" style="1" customWidth="1"/>
    <col min="9794" max="9800" width="18.7265625" style="1" customWidth="1"/>
    <col min="9801" max="9809" width="17.54296875" style="1" customWidth="1"/>
    <col min="9810" max="9816" width="18.54296875" style="1" customWidth="1"/>
    <col min="9817" max="9825" width="17.54296875" style="1" bestFit="1" customWidth="1"/>
    <col min="9826" max="9832" width="18.54296875" style="1" bestFit="1" customWidth="1"/>
    <col min="9833" max="9984" width="11.54296875" style="1"/>
    <col min="9985" max="9985" width="45.54296875" style="1" customWidth="1"/>
    <col min="9986" max="9986" width="8.81640625" style="1" bestFit="1" customWidth="1"/>
    <col min="9987" max="9987" width="13.7265625" style="1" bestFit="1" customWidth="1"/>
    <col min="9988" max="9988" width="16.81640625" style="1" customWidth="1"/>
    <col min="9989" max="9989" width="8.81640625" style="1" bestFit="1" customWidth="1"/>
    <col min="9990" max="9990" width="13.7265625" style="1" bestFit="1" customWidth="1"/>
    <col min="9991" max="9991" width="17.26953125" style="1" customWidth="1"/>
    <col min="9992" max="9992" width="15.81640625" style="1" bestFit="1" customWidth="1"/>
    <col min="9993" max="10001" width="17.7265625" style="1" customWidth="1"/>
    <col min="10002" max="10008" width="18.7265625" style="1" customWidth="1"/>
    <col min="10009" max="10017" width="17.7265625" style="1" customWidth="1"/>
    <col min="10018" max="10024" width="18.7265625" style="1" customWidth="1"/>
    <col min="10025" max="10033" width="17.7265625" style="1" customWidth="1"/>
    <col min="10034" max="10040" width="18.7265625" style="1" customWidth="1"/>
    <col min="10041" max="10049" width="17.7265625" style="1" customWidth="1"/>
    <col min="10050" max="10056" width="18.7265625" style="1" customWidth="1"/>
    <col min="10057" max="10065" width="17.54296875" style="1" customWidth="1"/>
    <col min="10066" max="10072" width="18.54296875" style="1" customWidth="1"/>
    <col min="10073" max="10081" width="17.54296875" style="1" bestFit="1" customWidth="1"/>
    <col min="10082" max="10088" width="18.54296875" style="1" bestFit="1" customWidth="1"/>
    <col min="10089" max="10240" width="11.54296875" style="1"/>
    <col min="10241" max="10241" width="45.54296875" style="1" customWidth="1"/>
    <col min="10242" max="10242" width="8.81640625" style="1" bestFit="1" customWidth="1"/>
    <col min="10243" max="10243" width="13.7265625" style="1" bestFit="1" customWidth="1"/>
    <col min="10244" max="10244" width="16.81640625" style="1" customWidth="1"/>
    <col min="10245" max="10245" width="8.81640625" style="1" bestFit="1" customWidth="1"/>
    <col min="10246" max="10246" width="13.7265625" style="1" bestFit="1" customWidth="1"/>
    <col min="10247" max="10247" width="17.26953125" style="1" customWidth="1"/>
    <col min="10248" max="10248" width="15.81640625" style="1" bestFit="1" customWidth="1"/>
    <col min="10249" max="10257" width="17.7265625" style="1" customWidth="1"/>
    <col min="10258" max="10264" width="18.7265625" style="1" customWidth="1"/>
    <col min="10265" max="10273" width="17.7265625" style="1" customWidth="1"/>
    <col min="10274" max="10280" width="18.7265625" style="1" customWidth="1"/>
    <col min="10281" max="10289" width="17.7265625" style="1" customWidth="1"/>
    <col min="10290" max="10296" width="18.7265625" style="1" customWidth="1"/>
    <col min="10297" max="10305" width="17.7265625" style="1" customWidth="1"/>
    <col min="10306" max="10312" width="18.7265625" style="1" customWidth="1"/>
    <col min="10313" max="10321" width="17.54296875" style="1" customWidth="1"/>
    <col min="10322" max="10328" width="18.54296875" style="1" customWidth="1"/>
    <col min="10329" max="10337" width="17.54296875" style="1" bestFit="1" customWidth="1"/>
    <col min="10338" max="10344" width="18.54296875" style="1" bestFit="1" customWidth="1"/>
    <col min="10345" max="10496" width="11.54296875" style="1"/>
    <col min="10497" max="10497" width="45.54296875" style="1" customWidth="1"/>
    <col min="10498" max="10498" width="8.81640625" style="1" bestFit="1" customWidth="1"/>
    <col min="10499" max="10499" width="13.7265625" style="1" bestFit="1" customWidth="1"/>
    <col min="10500" max="10500" width="16.81640625" style="1" customWidth="1"/>
    <col min="10501" max="10501" width="8.81640625" style="1" bestFit="1" customWidth="1"/>
    <col min="10502" max="10502" width="13.7265625" style="1" bestFit="1" customWidth="1"/>
    <col min="10503" max="10503" width="17.26953125" style="1" customWidth="1"/>
    <col min="10504" max="10504" width="15.81640625" style="1" bestFit="1" customWidth="1"/>
    <col min="10505" max="10513" width="17.7265625" style="1" customWidth="1"/>
    <col min="10514" max="10520" width="18.7265625" style="1" customWidth="1"/>
    <col min="10521" max="10529" width="17.7265625" style="1" customWidth="1"/>
    <col min="10530" max="10536" width="18.7265625" style="1" customWidth="1"/>
    <col min="10537" max="10545" width="17.7265625" style="1" customWidth="1"/>
    <col min="10546" max="10552" width="18.7265625" style="1" customWidth="1"/>
    <col min="10553" max="10561" width="17.7265625" style="1" customWidth="1"/>
    <col min="10562" max="10568" width="18.7265625" style="1" customWidth="1"/>
    <col min="10569" max="10577" width="17.54296875" style="1" customWidth="1"/>
    <col min="10578" max="10584" width="18.54296875" style="1" customWidth="1"/>
    <col min="10585" max="10593" width="17.54296875" style="1" bestFit="1" customWidth="1"/>
    <col min="10594" max="10600" width="18.54296875" style="1" bestFit="1" customWidth="1"/>
    <col min="10601" max="10752" width="11.54296875" style="1"/>
    <col min="10753" max="10753" width="45.54296875" style="1" customWidth="1"/>
    <col min="10754" max="10754" width="8.81640625" style="1" bestFit="1" customWidth="1"/>
    <col min="10755" max="10755" width="13.7265625" style="1" bestFit="1" customWidth="1"/>
    <col min="10756" max="10756" width="16.81640625" style="1" customWidth="1"/>
    <col min="10757" max="10757" width="8.81640625" style="1" bestFit="1" customWidth="1"/>
    <col min="10758" max="10758" width="13.7265625" style="1" bestFit="1" customWidth="1"/>
    <col min="10759" max="10759" width="17.26953125" style="1" customWidth="1"/>
    <col min="10760" max="10760" width="15.81640625" style="1" bestFit="1" customWidth="1"/>
    <col min="10761" max="10769" width="17.7265625" style="1" customWidth="1"/>
    <col min="10770" max="10776" width="18.7265625" style="1" customWidth="1"/>
    <col min="10777" max="10785" width="17.7265625" style="1" customWidth="1"/>
    <col min="10786" max="10792" width="18.7265625" style="1" customWidth="1"/>
    <col min="10793" max="10801" width="17.7265625" style="1" customWidth="1"/>
    <col min="10802" max="10808" width="18.7265625" style="1" customWidth="1"/>
    <col min="10809" max="10817" width="17.7265625" style="1" customWidth="1"/>
    <col min="10818" max="10824" width="18.7265625" style="1" customWidth="1"/>
    <col min="10825" max="10833" width="17.54296875" style="1" customWidth="1"/>
    <col min="10834" max="10840" width="18.54296875" style="1" customWidth="1"/>
    <col min="10841" max="10849" width="17.54296875" style="1" bestFit="1" customWidth="1"/>
    <col min="10850" max="10856" width="18.54296875" style="1" bestFit="1" customWidth="1"/>
    <col min="10857" max="11008" width="11.54296875" style="1"/>
    <col min="11009" max="11009" width="45.54296875" style="1" customWidth="1"/>
    <col min="11010" max="11010" width="8.81640625" style="1" bestFit="1" customWidth="1"/>
    <col min="11011" max="11011" width="13.7265625" style="1" bestFit="1" customWidth="1"/>
    <col min="11012" max="11012" width="16.81640625" style="1" customWidth="1"/>
    <col min="11013" max="11013" width="8.81640625" style="1" bestFit="1" customWidth="1"/>
    <col min="11014" max="11014" width="13.7265625" style="1" bestFit="1" customWidth="1"/>
    <col min="11015" max="11015" width="17.26953125" style="1" customWidth="1"/>
    <col min="11016" max="11016" width="15.81640625" style="1" bestFit="1" customWidth="1"/>
    <col min="11017" max="11025" width="17.7265625" style="1" customWidth="1"/>
    <col min="11026" max="11032" width="18.7265625" style="1" customWidth="1"/>
    <col min="11033" max="11041" width="17.7265625" style="1" customWidth="1"/>
    <col min="11042" max="11048" width="18.7265625" style="1" customWidth="1"/>
    <col min="11049" max="11057" width="17.7265625" style="1" customWidth="1"/>
    <col min="11058" max="11064" width="18.7265625" style="1" customWidth="1"/>
    <col min="11065" max="11073" width="17.7265625" style="1" customWidth="1"/>
    <col min="11074" max="11080" width="18.7265625" style="1" customWidth="1"/>
    <col min="11081" max="11089" width="17.54296875" style="1" customWidth="1"/>
    <col min="11090" max="11096" width="18.54296875" style="1" customWidth="1"/>
    <col min="11097" max="11105" width="17.54296875" style="1" bestFit="1" customWidth="1"/>
    <col min="11106" max="11112" width="18.54296875" style="1" bestFit="1" customWidth="1"/>
    <col min="11113" max="11264" width="11.54296875" style="1"/>
    <col min="11265" max="11265" width="45.54296875" style="1" customWidth="1"/>
    <col min="11266" max="11266" width="8.81640625" style="1" bestFit="1" customWidth="1"/>
    <col min="11267" max="11267" width="13.7265625" style="1" bestFit="1" customWidth="1"/>
    <col min="11268" max="11268" width="16.81640625" style="1" customWidth="1"/>
    <col min="11269" max="11269" width="8.81640625" style="1" bestFit="1" customWidth="1"/>
    <col min="11270" max="11270" width="13.7265625" style="1" bestFit="1" customWidth="1"/>
    <col min="11271" max="11271" width="17.26953125" style="1" customWidth="1"/>
    <col min="11272" max="11272" width="15.81640625" style="1" bestFit="1" customWidth="1"/>
    <col min="11273" max="11281" width="17.7265625" style="1" customWidth="1"/>
    <col min="11282" max="11288" width="18.7265625" style="1" customWidth="1"/>
    <col min="11289" max="11297" width="17.7265625" style="1" customWidth="1"/>
    <col min="11298" max="11304" width="18.7265625" style="1" customWidth="1"/>
    <col min="11305" max="11313" width="17.7265625" style="1" customWidth="1"/>
    <col min="11314" max="11320" width="18.7265625" style="1" customWidth="1"/>
    <col min="11321" max="11329" width="17.7265625" style="1" customWidth="1"/>
    <col min="11330" max="11336" width="18.7265625" style="1" customWidth="1"/>
    <col min="11337" max="11345" width="17.54296875" style="1" customWidth="1"/>
    <col min="11346" max="11352" width="18.54296875" style="1" customWidth="1"/>
    <col min="11353" max="11361" width="17.54296875" style="1" bestFit="1" customWidth="1"/>
    <col min="11362" max="11368" width="18.54296875" style="1" bestFit="1" customWidth="1"/>
    <col min="11369" max="11520" width="11.54296875" style="1"/>
    <col min="11521" max="11521" width="45.54296875" style="1" customWidth="1"/>
    <col min="11522" max="11522" width="8.81640625" style="1" bestFit="1" customWidth="1"/>
    <col min="11523" max="11523" width="13.7265625" style="1" bestFit="1" customWidth="1"/>
    <col min="11524" max="11524" width="16.81640625" style="1" customWidth="1"/>
    <col min="11525" max="11525" width="8.81640625" style="1" bestFit="1" customWidth="1"/>
    <col min="11526" max="11526" width="13.7265625" style="1" bestFit="1" customWidth="1"/>
    <col min="11527" max="11527" width="17.26953125" style="1" customWidth="1"/>
    <col min="11528" max="11528" width="15.81640625" style="1" bestFit="1" customWidth="1"/>
    <col min="11529" max="11537" width="17.7265625" style="1" customWidth="1"/>
    <col min="11538" max="11544" width="18.7265625" style="1" customWidth="1"/>
    <col min="11545" max="11553" width="17.7265625" style="1" customWidth="1"/>
    <col min="11554" max="11560" width="18.7265625" style="1" customWidth="1"/>
    <col min="11561" max="11569" width="17.7265625" style="1" customWidth="1"/>
    <col min="11570" max="11576" width="18.7265625" style="1" customWidth="1"/>
    <col min="11577" max="11585" width="17.7265625" style="1" customWidth="1"/>
    <col min="11586" max="11592" width="18.7265625" style="1" customWidth="1"/>
    <col min="11593" max="11601" width="17.54296875" style="1" customWidth="1"/>
    <col min="11602" max="11608" width="18.54296875" style="1" customWidth="1"/>
    <col min="11609" max="11617" width="17.54296875" style="1" bestFit="1" customWidth="1"/>
    <col min="11618" max="11624" width="18.54296875" style="1" bestFit="1" customWidth="1"/>
    <col min="11625" max="11776" width="11.54296875" style="1"/>
    <col min="11777" max="11777" width="45.54296875" style="1" customWidth="1"/>
    <col min="11778" max="11778" width="8.81640625" style="1" bestFit="1" customWidth="1"/>
    <col min="11779" max="11779" width="13.7265625" style="1" bestFit="1" customWidth="1"/>
    <col min="11780" max="11780" width="16.81640625" style="1" customWidth="1"/>
    <col min="11781" max="11781" width="8.81640625" style="1" bestFit="1" customWidth="1"/>
    <col min="11782" max="11782" width="13.7265625" style="1" bestFit="1" customWidth="1"/>
    <col min="11783" max="11783" width="17.26953125" style="1" customWidth="1"/>
    <col min="11784" max="11784" width="15.81640625" style="1" bestFit="1" customWidth="1"/>
    <col min="11785" max="11793" width="17.7265625" style="1" customWidth="1"/>
    <col min="11794" max="11800" width="18.7265625" style="1" customWidth="1"/>
    <col min="11801" max="11809" width="17.7265625" style="1" customWidth="1"/>
    <col min="11810" max="11816" width="18.7265625" style="1" customWidth="1"/>
    <col min="11817" max="11825" width="17.7265625" style="1" customWidth="1"/>
    <col min="11826" max="11832" width="18.7265625" style="1" customWidth="1"/>
    <col min="11833" max="11841" width="17.7265625" style="1" customWidth="1"/>
    <col min="11842" max="11848" width="18.7265625" style="1" customWidth="1"/>
    <col min="11849" max="11857" width="17.54296875" style="1" customWidth="1"/>
    <col min="11858" max="11864" width="18.54296875" style="1" customWidth="1"/>
    <col min="11865" max="11873" width="17.54296875" style="1" bestFit="1" customWidth="1"/>
    <col min="11874" max="11880" width="18.54296875" style="1" bestFit="1" customWidth="1"/>
    <col min="11881" max="12032" width="11.54296875" style="1"/>
    <col min="12033" max="12033" width="45.54296875" style="1" customWidth="1"/>
    <col min="12034" max="12034" width="8.81640625" style="1" bestFit="1" customWidth="1"/>
    <col min="12035" max="12035" width="13.7265625" style="1" bestFit="1" customWidth="1"/>
    <col min="12036" max="12036" width="16.81640625" style="1" customWidth="1"/>
    <col min="12037" max="12037" width="8.81640625" style="1" bestFit="1" customWidth="1"/>
    <col min="12038" max="12038" width="13.7265625" style="1" bestFit="1" customWidth="1"/>
    <col min="12039" max="12039" width="17.26953125" style="1" customWidth="1"/>
    <col min="12040" max="12040" width="15.81640625" style="1" bestFit="1" customWidth="1"/>
    <col min="12041" max="12049" width="17.7265625" style="1" customWidth="1"/>
    <col min="12050" max="12056" width="18.7265625" style="1" customWidth="1"/>
    <col min="12057" max="12065" width="17.7265625" style="1" customWidth="1"/>
    <col min="12066" max="12072" width="18.7265625" style="1" customWidth="1"/>
    <col min="12073" max="12081" width="17.7265625" style="1" customWidth="1"/>
    <col min="12082" max="12088" width="18.7265625" style="1" customWidth="1"/>
    <col min="12089" max="12097" width="17.7265625" style="1" customWidth="1"/>
    <col min="12098" max="12104" width="18.7265625" style="1" customWidth="1"/>
    <col min="12105" max="12113" width="17.54296875" style="1" customWidth="1"/>
    <col min="12114" max="12120" width="18.54296875" style="1" customWidth="1"/>
    <col min="12121" max="12129" width="17.54296875" style="1" bestFit="1" customWidth="1"/>
    <col min="12130" max="12136" width="18.54296875" style="1" bestFit="1" customWidth="1"/>
    <col min="12137" max="12288" width="11.54296875" style="1"/>
    <col min="12289" max="12289" width="45.54296875" style="1" customWidth="1"/>
    <col min="12290" max="12290" width="8.81640625" style="1" bestFit="1" customWidth="1"/>
    <col min="12291" max="12291" width="13.7265625" style="1" bestFit="1" customWidth="1"/>
    <col min="12292" max="12292" width="16.81640625" style="1" customWidth="1"/>
    <col min="12293" max="12293" width="8.81640625" style="1" bestFit="1" customWidth="1"/>
    <col min="12294" max="12294" width="13.7265625" style="1" bestFit="1" customWidth="1"/>
    <col min="12295" max="12295" width="17.26953125" style="1" customWidth="1"/>
    <col min="12296" max="12296" width="15.81640625" style="1" bestFit="1" customWidth="1"/>
    <col min="12297" max="12305" width="17.7265625" style="1" customWidth="1"/>
    <col min="12306" max="12312" width="18.7265625" style="1" customWidth="1"/>
    <col min="12313" max="12321" width="17.7265625" style="1" customWidth="1"/>
    <col min="12322" max="12328" width="18.7265625" style="1" customWidth="1"/>
    <col min="12329" max="12337" width="17.7265625" style="1" customWidth="1"/>
    <col min="12338" max="12344" width="18.7265625" style="1" customWidth="1"/>
    <col min="12345" max="12353" width="17.7265625" style="1" customWidth="1"/>
    <col min="12354" max="12360" width="18.7265625" style="1" customWidth="1"/>
    <col min="12361" max="12369" width="17.54296875" style="1" customWidth="1"/>
    <col min="12370" max="12376" width="18.54296875" style="1" customWidth="1"/>
    <col min="12377" max="12385" width="17.54296875" style="1" bestFit="1" customWidth="1"/>
    <col min="12386" max="12392" width="18.54296875" style="1" bestFit="1" customWidth="1"/>
    <col min="12393" max="12544" width="11.54296875" style="1"/>
    <col min="12545" max="12545" width="45.54296875" style="1" customWidth="1"/>
    <col min="12546" max="12546" width="8.81640625" style="1" bestFit="1" customWidth="1"/>
    <col min="12547" max="12547" width="13.7265625" style="1" bestFit="1" customWidth="1"/>
    <col min="12548" max="12548" width="16.81640625" style="1" customWidth="1"/>
    <col min="12549" max="12549" width="8.81640625" style="1" bestFit="1" customWidth="1"/>
    <col min="12550" max="12550" width="13.7265625" style="1" bestFit="1" customWidth="1"/>
    <col min="12551" max="12551" width="17.26953125" style="1" customWidth="1"/>
    <col min="12552" max="12552" width="15.81640625" style="1" bestFit="1" customWidth="1"/>
    <col min="12553" max="12561" width="17.7265625" style="1" customWidth="1"/>
    <col min="12562" max="12568" width="18.7265625" style="1" customWidth="1"/>
    <col min="12569" max="12577" width="17.7265625" style="1" customWidth="1"/>
    <col min="12578" max="12584" width="18.7265625" style="1" customWidth="1"/>
    <col min="12585" max="12593" width="17.7265625" style="1" customWidth="1"/>
    <col min="12594" max="12600" width="18.7265625" style="1" customWidth="1"/>
    <col min="12601" max="12609" width="17.7265625" style="1" customWidth="1"/>
    <col min="12610" max="12616" width="18.7265625" style="1" customWidth="1"/>
    <col min="12617" max="12625" width="17.54296875" style="1" customWidth="1"/>
    <col min="12626" max="12632" width="18.54296875" style="1" customWidth="1"/>
    <col min="12633" max="12641" width="17.54296875" style="1" bestFit="1" customWidth="1"/>
    <col min="12642" max="12648" width="18.54296875" style="1" bestFit="1" customWidth="1"/>
    <col min="12649" max="12800" width="11.54296875" style="1"/>
    <col min="12801" max="12801" width="45.54296875" style="1" customWidth="1"/>
    <col min="12802" max="12802" width="8.81640625" style="1" bestFit="1" customWidth="1"/>
    <col min="12803" max="12803" width="13.7265625" style="1" bestFit="1" customWidth="1"/>
    <col min="12804" max="12804" width="16.81640625" style="1" customWidth="1"/>
    <col min="12805" max="12805" width="8.81640625" style="1" bestFit="1" customWidth="1"/>
    <col min="12806" max="12806" width="13.7265625" style="1" bestFit="1" customWidth="1"/>
    <col min="12807" max="12807" width="17.26953125" style="1" customWidth="1"/>
    <col min="12808" max="12808" width="15.81640625" style="1" bestFit="1" customWidth="1"/>
    <col min="12809" max="12817" width="17.7265625" style="1" customWidth="1"/>
    <col min="12818" max="12824" width="18.7265625" style="1" customWidth="1"/>
    <col min="12825" max="12833" width="17.7265625" style="1" customWidth="1"/>
    <col min="12834" max="12840" width="18.7265625" style="1" customWidth="1"/>
    <col min="12841" max="12849" width="17.7265625" style="1" customWidth="1"/>
    <col min="12850" max="12856" width="18.7265625" style="1" customWidth="1"/>
    <col min="12857" max="12865" width="17.7265625" style="1" customWidth="1"/>
    <col min="12866" max="12872" width="18.7265625" style="1" customWidth="1"/>
    <col min="12873" max="12881" width="17.54296875" style="1" customWidth="1"/>
    <col min="12882" max="12888" width="18.54296875" style="1" customWidth="1"/>
    <col min="12889" max="12897" width="17.54296875" style="1" bestFit="1" customWidth="1"/>
    <col min="12898" max="12904" width="18.54296875" style="1" bestFit="1" customWidth="1"/>
    <col min="12905" max="13056" width="11.54296875" style="1"/>
    <col min="13057" max="13057" width="45.54296875" style="1" customWidth="1"/>
    <col min="13058" max="13058" width="8.81640625" style="1" bestFit="1" customWidth="1"/>
    <col min="13059" max="13059" width="13.7265625" style="1" bestFit="1" customWidth="1"/>
    <col min="13060" max="13060" width="16.81640625" style="1" customWidth="1"/>
    <col min="13061" max="13061" width="8.81640625" style="1" bestFit="1" customWidth="1"/>
    <col min="13062" max="13062" width="13.7265625" style="1" bestFit="1" customWidth="1"/>
    <col min="13063" max="13063" width="17.26953125" style="1" customWidth="1"/>
    <col min="13064" max="13064" width="15.81640625" style="1" bestFit="1" customWidth="1"/>
    <col min="13065" max="13073" width="17.7265625" style="1" customWidth="1"/>
    <col min="13074" max="13080" width="18.7265625" style="1" customWidth="1"/>
    <col min="13081" max="13089" width="17.7265625" style="1" customWidth="1"/>
    <col min="13090" max="13096" width="18.7265625" style="1" customWidth="1"/>
    <col min="13097" max="13105" width="17.7265625" style="1" customWidth="1"/>
    <col min="13106" max="13112" width="18.7265625" style="1" customWidth="1"/>
    <col min="13113" max="13121" width="17.7265625" style="1" customWidth="1"/>
    <col min="13122" max="13128" width="18.7265625" style="1" customWidth="1"/>
    <col min="13129" max="13137" width="17.54296875" style="1" customWidth="1"/>
    <col min="13138" max="13144" width="18.54296875" style="1" customWidth="1"/>
    <col min="13145" max="13153" width="17.54296875" style="1" bestFit="1" customWidth="1"/>
    <col min="13154" max="13160" width="18.54296875" style="1" bestFit="1" customWidth="1"/>
    <col min="13161" max="13312" width="11.54296875" style="1"/>
    <col min="13313" max="13313" width="45.54296875" style="1" customWidth="1"/>
    <col min="13314" max="13314" width="8.81640625" style="1" bestFit="1" customWidth="1"/>
    <col min="13315" max="13315" width="13.7265625" style="1" bestFit="1" customWidth="1"/>
    <col min="13316" max="13316" width="16.81640625" style="1" customWidth="1"/>
    <col min="13317" max="13317" width="8.81640625" style="1" bestFit="1" customWidth="1"/>
    <col min="13318" max="13318" width="13.7265625" style="1" bestFit="1" customWidth="1"/>
    <col min="13319" max="13319" width="17.26953125" style="1" customWidth="1"/>
    <col min="13320" max="13320" width="15.81640625" style="1" bestFit="1" customWidth="1"/>
    <col min="13321" max="13329" width="17.7265625" style="1" customWidth="1"/>
    <col min="13330" max="13336" width="18.7265625" style="1" customWidth="1"/>
    <col min="13337" max="13345" width="17.7265625" style="1" customWidth="1"/>
    <col min="13346" max="13352" width="18.7265625" style="1" customWidth="1"/>
    <col min="13353" max="13361" width="17.7265625" style="1" customWidth="1"/>
    <col min="13362" max="13368" width="18.7265625" style="1" customWidth="1"/>
    <col min="13369" max="13377" width="17.7265625" style="1" customWidth="1"/>
    <col min="13378" max="13384" width="18.7265625" style="1" customWidth="1"/>
    <col min="13385" max="13393" width="17.54296875" style="1" customWidth="1"/>
    <col min="13394" max="13400" width="18.54296875" style="1" customWidth="1"/>
    <col min="13401" max="13409" width="17.54296875" style="1" bestFit="1" customWidth="1"/>
    <col min="13410" max="13416" width="18.54296875" style="1" bestFit="1" customWidth="1"/>
    <col min="13417" max="13568" width="11.54296875" style="1"/>
    <col min="13569" max="13569" width="45.54296875" style="1" customWidth="1"/>
    <col min="13570" max="13570" width="8.81640625" style="1" bestFit="1" customWidth="1"/>
    <col min="13571" max="13571" width="13.7265625" style="1" bestFit="1" customWidth="1"/>
    <col min="13572" max="13572" width="16.81640625" style="1" customWidth="1"/>
    <col min="13573" max="13573" width="8.81640625" style="1" bestFit="1" customWidth="1"/>
    <col min="13574" max="13574" width="13.7265625" style="1" bestFit="1" customWidth="1"/>
    <col min="13575" max="13575" width="17.26953125" style="1" customWidth="1"/>
    <col min="13576" max="13576" width="15.81640625" style="1" bestFit="1" customWidth="1"/>
    <col min="13577" max="13585" width="17.7265625" style="1" customWidth="1"/>
    <col min="13586" max="13592" width="18.7265625" style="1" customWidth="1"/>
    <col min="13593" max="13601" width="17.7265625" style="1" customWidth="1"/>
    <col min="13602" max="13608" width="18.7265625" style="1" customWidth="1"/>
    <col min="13609" max="13617" width="17.7265625" style="1" customWidth="1"/>
    <col min="13618" max="13624" width="18.7265625" style="1" customWidth="1"/>
    <col min="13625" max="13633" width="17.7265625" style="1" customWidth="1"/>
    <col min="13634" max="13640" width="18.7265625" style="1" customWidth="1"/>
    <col min="13641" max="13649" width="17.54296875" style="1" customWidth="1"/>
    <col min="13650" max="13656" width="18.54296875" style="1" customWidth="1"/>
    <col min="13657" max="13665" width="17.54296875" style="1" bestFit="1" customWidth="1"/>
    <col min="13666" max="13672" width="18.54296875" style="1" bestFit="1" customWidth="1"/>
    <col min="13673" max="13824" width="11.54296875" style="1"/>
    <col min="13825" max="13825" width="45.54296875" style="1" customWidth="1"/>
    <col min="13826" max="13826" width="8.81640625" style="1" bestFit="1" customWidth="1"/>
    <col min="13827" max="13827" width="13.7265625" style="1" bestFit="1" customWidth="1"/>
    <col min="13828" max="13828" width="16.81640625" style="1" customWidth="1"/>
    <col min="13829" max="13829" width="8.81640625" style="1" bestFit="1" customWidth="1"/>
    <col min="13830" max="13830" width="13.7265625" style="1" bestFit="1" customWidth="1"/>
    <col min="13831" max="13831" width="17.26953125" style="1" customWidth="1"/>
    <col min="13832" max="13832" width="15.81640625" style="1" bestFit="1" customWidth="1"/>
    <col min="13833" max="13841" width="17.7265625" style="1" customWidth="1"/>
    <col min="13842" max="13848" width="18.7265625" style="1" customWidth="1"/>
    <col min="13849" max="13857" width="17.7265625" style="1" customWidth="1"/>
    <col min="13858" max="13864" width="18.7265625" style="1" customWidth="1"/>
    <col min="13865" max="13873" width="17.7265625" style="1" customWidth="1"/>
    <col min="13874" max="13880" width="18.7265625" style="1" customWidth="1"/>
    <col min="13881" max="13889" width="17.7265625" style="1" customWidth="1"/>
    <col min="13890" max="13896" width="18.7265625" style="1" customWidth="1"/>
    <col min="13897" max="13905" width="17.54296875" style="1" customWidth="1"/>
    <col min="13906" max="13912" width="18.54296875" style="1" customWidth="1"/>
    <col min="13913" max="13921" width="17.54296875" style="1" bestFit="1" customWidth="1"/>
    <col min="13922" max="13928" width="18.54296875" style="1" bestFit="1" customWidth="1"/>
    <col min="13929" max="14080" width="11.54296875" style="1"/>
    <col min="14081" max="14081" width="45.54296875" style="1" customWidth="1"/>
    <col min="14082" max="14082" width="8.81640625" style="1" bestFit="1" customWidth="1"/>
    <col min="14083" max="14083" width="13.7265625" style="1" bestFit="1" customWidth="1"/>
    <col min="14084" max="14084" width="16.81640625" style="1" customWidth="1"/>
    <col min="14085" max="14085" width="8.81640625" style="1" bestFit="1" customWidth="1"/>
    <col min="14086" max="14086" width="13.7265625" style="1" bestFit="1" customWidth="1"/>
    <col min="14087" max="14087" width="17.26953125" style="1" customWidth="1"/>
    <col min="14088" max="14088" width="15.81640625" style="1" bestFit="1" customWidth="1"/>
    <col min="14089" max="14097" width="17.7265625" style="1" customWidth="1"/>
    <col min="14098" max="14104" width="18.7265625" style="1" customWidth="1"/>
    <col min="14105" max="14113" width="17.7265625" style="1" customWidth="1"/>
    <col min="14114" max="14120" width="18.7265625" style="1" customWidth="1"/>
    <col min="14121" max="14129" width="17.7265625" style="1" customWidth="1"/>
    <col min="14130" max="14136" width="18.7265625" style="1" customWidth="1"/>
    <col min="14137" max="14145" width="17.7265625" style="1" customWidth="1"/>
    <col min="14146" max="14152" width="18.7265625" style="1" customWidth="1"/>
    <col min="14153" max="14161" width="17.54296875" style="1" customWidth="1"/>
    <col min="14162" max="14168" width="18.54296875" style="1" customWidth="1"/>
    <col min="14169" max="14177" width="17.54296875" style="1" bestFit="1" customWidth="1"/>
    <col min="14178" max="14184" width="18.54296875" style="1" bestFit="1" customWidth="1"/>
    <col min="14185" max="14336" width="11.54296875" style="1"/>
    <col min="14337" max="14337" width="45.54296875" style="1" customWidth="1"/>
    <col min="14338" max="14338" width="8.81640625" style="1" bestFit="1" customWidth="1"/>
    <col min="14339" max="14339" width="13.7265625" style="1" bestFit="1" customWidth="1"/>
    <col min="14340" max="14340" width="16.81640625" style="1" customWidth="1"/>
    <col min="14341" max="14341" width="8.81640625" style="1" bestFit="1" customWidth="1"/>
    <col min="14342" max="14342" width="13.7265625" style="1" bestFit="1" customWidth="1"/>
    <col min="14343" max="14343" width="17.26953125" style="1" customWidth="1"/>
    <col min="14344" max="14344" width="15.81640625" style="1" bestFit="1" customWidth="1"/>
    <col min="14345" max="14353" width="17.7265625" style="1" customWidth="1"/>
    <col min="14354" max="14360" width="18.7265625" style="1" customWidth="1"/>
    <col min="14361" max="14369" width="17.7265625" style="1" customWidth="1"/>
    <col min="14370" max="14376" width="18.7265625" style="1" customWidth="1"/>
    <col min="14377" max="14385" width="17.7265625" style="1" customWidth="1"/>
    <col min="14386" max="14392" width="18.7265625" style="1" customWidth="1"/>
    <col min="14393" max="14401" width="17.7265625" style="1" customWidth="1"/>
    <col min="14402" max="14408" width="18.7265625" style="1" customWidth="1"/>
    <col min="14409" max="14417" width="17.54296875" style="1" customWidth="1"/>
    <col min="14418" max="14424" width="18.54296875" style="1" customWidth="1"/>
    <col min="14425" max="14433" width="17.54296875" style="1" bestFit="1" customWidth="1"/>
    <col min="14434" max="14440" width="18.54296875" style="1" bestFit="1" customWidth="1"/>
    <col min="14441" max="14592" width="11.54296875" style="1"/>
    <col min="14593" max="14593" width="45.54296875" style="1" customWidth="1"/>
    <col min="14594" max="14594" width="8.81640625" style="1" bestFit="1" customWidth="1"/>
    <col min="14595" max="14595" width="13.7265625" style="1" bestFit="1" customWidth="1"/>
    <col min="14596" max="14596" width="16.81640625" style="1" customWidth="1"/>
    <col min="14597" max="14597" width="8.81640625" style="1" bestFit="1" customWidth="1"/>
    <col min="14598" max="14598" width="13.7265625" style="1" bestFit="1" customWidth="1"/>
    <col min="14599" max="14599" width="17.26953125" style="1" customWidth="1"/>
    <col min="14600" max="14600" width="15.81640625" style="1" bestFit="1" customWidth="1"/>
    <col min="14601" max="14609" width="17.7265625" style="1" customWidth="1"/>
    <col min="14610" max="14616" width="18.7265625" style="1" customWidth="1"/>
    <col min="14617" max="14625" width="17.7265625" style="1" customWidth="1"/>
    <col min="14626" max="14632" width="18.7265625" style="1" customWidth="1"/>
    <col min="14633" max="14641" width="17.7265625" style="1" customWidth="1"/>
    <col min="14642" max="14648" width="18.7265625" style="1" customWidth="1"/>
    <col min="14649" max="14657" width="17.7265625" style="1" customWidth="1"/>
    <col min="14658" max="14664" width="18.7265625" style="1" customWidth="1"/>
    <col min="14665" max="14673" width="17.54296875" style="1" customWidth="1"/>
    <col min="14674" max="14680" width="18.54296875" style="1" customWidth="1"/>
    <col min="14681" max="14689" width="17.54296875" style="1" bestFit="1" customWidth="1"/>
    <col min="14690" max="14696" width="18.54296875" style="1" bestFit="1" customWidth="1"/>
    <col min="14697" max="14848" width="11.54296875" style="1"/>
    <col min="14849" max="14849" width="45.54296875" style="1" customWidth="1"/>
    <col min="14850" max="14850" width="8.81640625" style="1" bestFit="1" customWidth="1"/>
    <col min="14851" max="14851" width="13.7265625" style="1" bestFit="1" customWidth="1"/>
    <col min="14852" max="14852" width="16.81640625" style="1" customWidth="1"/>
    <col min="14853" max="14853" width="8.81640625" style="1" bestFit="1" customWidth="1"/>
    <col min="14854" max="14854" width="13.7265625" style="1" bestFit="1" customWidth="1"/>
    <col min="14855" max="14855" width="17.26953125" style="1" customWidth="1"/>
    <col min="14856" max="14856" width="15.81640625" style="1" bestFit="1" customWidth="1"/>
    <col min="14857" max="14865" width="17.7265625" style="1" customWidth="1"/>
    <col min="14866" max="14872" width="18.7265625" style="1" customWidth="1"/>
    <col min="14873" max="14881" width="17.7265625" style="1" customWidth="1"/>
    <col min="14882" max="14888" width="18.7265625" style="1" customWidth="1"/>
    <col min="14889" max="14897" width="17.7265625" style="1" customWidth="1"/>
    <col min="14898" max="14904" width="18.7265625" style="1" customWidth="1"/>
    <col min="14905" max="14913" width="17.7265625" style="1" customWidth="1"/>
    <col min="14914" max="14920" width="18.7265625" style="1" customWidth="1"/>
    <col min="14921" max="14929" width="17.54296875" style="1" customWidth="1"/>
    <col min="14930" max="14936" width="18.54296875" style="1" customWidth="1"/>
    <col min="14937" max="14945" width="17.54296875" style="1" bestFit="1" customWidth="1"/>
    <col min="14946" max="14952" width="18.54296875" style="1" bestFit="1" customWidth="1"/>
    <col min="14953" max="15104" width="11.54296875" style="1"/>
    <col min="15105" max="15105" width="45.54296875" style="1" customWidth="1"/>
    <col min="15106" max="15106" width="8.81640625" style="1" bestFit="1" customWidth="1"/>
    <col min="15107" max="15107" width="13.7265625" style="1" bestFit="1" customWidth="1"/>
    <col min="15108" max="15108" width="16.81640625" style="1" customWidth="1"/>
    <col min="15109" max="15109" width="8.81640625" style="1" bestFit="1" customWidth="1"/>
    <col min="15110" max="15110" width="13.7265625" style="1" bestFit="1" customWidth="1"/>
    <col min="15111" max="15111" width="17.26953125" style="1" customWidth="1"/>
    <col min="15112" max="15112" width="15.81640625" style="1" bestFit="1" customWidth="1"/>
    <col min="15113" max="15121" width="17.7265625" style="1" customWidth="1"/>
    <col min="15122" max="15128" width="18.7265625" style="1" customWidth="1"/>
    <col min="15129" max="15137" width="17.7265625" style="1" customWidth="1"/>
    <col min="15138" max="15144" width="18.7265625" style="1" customWidth="1"/>
    <col min="15145" max="15153" width="17.7265625" style="1" customWidth="1"/>
    <col min="15154" max="15160" width="18.7265625" style="1" customWidth="1"/>
    <col min="15161" max="15169" width="17.7265625" style="1" customWidth="1"/>
    <col min="15170" max="15176" width="18.7265625" style="1" customWidth="1"/>
    <col min="15177" max="15185" width="17.54296875" style="1" customWidth="1"/>
    <col min="15186" max="15192" width="18.54296875" style="1" customWidth="1"/>
    <col min="15193" max="15201" width="17.54296875" style="1" bestFit="1" customWidth="1"/>
    <col min="15202" max="15208" width="18.54296875" style="1" bestFit="1" customWidth="1"/>
    <col min="15209" max="15360" width="11.54296875" style="1"/>
    <col min="15361" max="15361" width="45.54296875" style="1" customWidth="1"/>
    <col min="15362" max="15362" width="8.81640625" style="1" bestFit="1" customWidth="1"/>
    <col min="15363" max="15363" width="13.7265625" style="1" bestFit="1" customWidth="1"/>
    <col min="15364" max="15364" width="16.81640625" style="1" customWidth="1"/>
    <col min="15365" max="15365" width="8.81640625" style="1" bestFit="1" customWidth="1"/>
    <col min="15366" max="15366" width="13.7265625" style="1" bestFit="1" customWidth="1"/>
    <col min="15367" max="15367" width="17.26953125" style="1" customWidth="1"/>
    <col min="15368" max="15368" width="15.81640625" style="1" bestFit="1" customWidth="1"/>
    <col min="15369" max="15377" width="17.7265625" style="1" customWidth="1"/>
    <col min="15378" max="15384" width="18.7265625" style="1" customWidth="1"/>
    <col min="15385" max="15393" width="17.7265625" style="1" customWidth="1"/>
    <col min="15394" max="15400" width="18.7265625" style="1" customWidth="1"/>
    <col min="15401" max="15409" width="17.7265625" style="1" customWidth="1"/>
    <col min="15410" max="15416" width="18.7265625" style="1" customWidth="1"/>
    <col min="15417" max="15425" width="17.7265625" style="1" customWidth="1"/>
    <col min="15426" max="15432" width="18.7265625" style="1" customWidth="1"/>
    <col min="15433" max="15441" width="17.54296875" style="1" customWidth="1"/>
    <col min="15442" max="15448" width="18.54296875" style="1" customWidth="1"/>
    <col min="15449" max="15457" width="17.54296875" style="1" bestFit="1" customWidth="1"/>
    <col min="15458" max="15464" width="18.54296875" style="1" bestFit="1" customWidth="1"/>
    <col min="15465" max="15616" width="11.54296875" style="1"/>
    <col min="15617" max="15617" width="45.54296875" style="1" customWidth="1"/>
    <col min="15618" max="15618" width="8.81640625" style="1" bestFit="1" customWidth="1"/>
    <col min="15619" max="15619" width="13.7265625" style="1" bestFit="1" customWidth="1"/>
    <col min="15620" max="15620" width="16.81640625" style="1" customWidth="1"/>
    <col min="15621" max="15621" width="8.81640625" style="1" bestFit="1" customWidth="1"/>
    <col min="15622" max="15622" width="13.7265625" style="1" bestFit="1" customWidth="1"/>
    <col min="15623" max="15623" width="17.26953125" style="1" customWidth="1"/>
    <col min="15624" max="15624" width="15.81640625" style="1" bestFit="1" customWidth="1"/>
    <col min="15625" max="15633" width="17.7265625" style="1" customWidth="1"/>
    <col min="15634" max="15640" width="18.7265625" style="1" customWidth="1"/>
    <col min="15641" max="15649" width="17.7265625" style="1" customWidth="1"/>
    <col min="15650" max="15656" width="18.7265625" style="1" customWidth="1"/>
    <col min="15657" max="15665" width="17.7265625" style="1" customWidth="1"/>
    <col min="15666" max="15672" width="18.7265625" style="1" customWidth="1"/>
    <col min="15673" max="15681" width="17.7265625" style="1" customWidth="1"/>
    <col min="15682" max="15688" width="18.7265625" style="1" customWidth="1"/>
    <col min="15689" max="15697" width="17.54296875" style="1" customWidth="1"/>
    <col min="15698" max="15704" width="18.54296875" style="1" customWidth="1"/>
    <col min="15705" max="15713" width="17.54296875" style="1" bestFit="1" customWidth="1"/>
    <col min="15714" max="15720" width="18.54296875" style="1" bestFit="1" customWidth="1"/>
    <col min="15721" max="15872" width="11.54296875" style="1"/>
    <col min="15873" max="15873" width="45.54296875" style="1" customWidth="1"/>
    <col min="15874" max="15874" width="8.81640625" style="1" bestFit="1" customWidth="1"/>
    <col min="15875" max="15875" width="13.7265625" style="1" bestFit="1" customWidth="1"/>
    <col min="15876" max="15876" width="16.81640625" style="1" customWidth="1"/>
    <col min="15877" max="15877" width="8.81640625" style="1" bestFit="1" customWidth="1"/>
    <col min="15878" max="15878" width="13.7265625" style="1" bestFit="1" customWidth="1"/>
    <col min="15879" max="15879" width="17.26953125" style="1" customWidth="1"/>
    <col min="15880" max="15880" width="15.81640625" style="1" bestFit="1" customWidth="1"/>
    <col min="15881" max="15889" width="17.7265625" style="1" customWidth="1"/>
    <col min="15890" max="15896" width="18.7265625" style="1" customWidth="1"/>
    <col min="15897" max="15905" width="17.7265625" style="1" customWidth="1"/>
    <col min="15906" max="15912" width="18.7265625" style="1" customWidth="1"/>
    <col min="15913" max="15921" width="17.7265625" style="1" customWidth="1"/>
    <col min="15922" max="15928" width="18.7265625" style="1" customWidth="1"/>
    <col min="15929" max="15937" width="17.7265625" style="1" customWidth="1"/>
    <col min="15938" max="15944" width="18.7265625" style="1" customWidth="1"/>
    <col min="15945" max="15953" width="17.54296875" style="1" customWidth="1"/>
    <col min="15954" max="15960" width="18.54296875" style="1" customWidth="1"/>
    <col min="15961" max="15969" width="17.54296875" style="1" bestFit="1" customWidth="1"/>
    <col min="15970" max="15976" width="18.54296875" style="1" bestFit="1" customWidth="1"/>
    <col min="15977" max="16128" width="11.54296875" style="1"/>
    <col min="16129" max="16129" width="45.54296875" style="1" customWidth="1"/>
    <col min="16130" max="16130" width="8.81640625" style="1" bestFit="1" customWidth="1"/>
    <col min="16131" max="16131" width="13.7265625" style="1" bestFit="1" customWidth="1"/>
    <col min="16132" max="16132" width="16.81640625" style="1" customWidth="1"/>
    <col min="16133" max="16133" width="8.81640625" style="1" bestFit="1" customWidth="1"/>
    <col min="16134" max="16134" width="13.7265625" style="1" bestFit="1" customWidth="1"/>
    <col min="16135" max="16135" width="17.26953125" style="1" customWidth="1"/>
    <col min="16136" max="16136" width="15.81640625" style="1" bestFit="1" customWidth="1"/>
    <col min="16137" max="16145" width="17.7265625" style="1" customWidth="1"/>
    <col min="16146" max="16152" width="18.7265625" style="1" customWidth="1"/>
    <col min="16153" max="16161" width="17.7265625" style="1" customWidth="1"/>
    <col min="16162" max="16168" width="18.7265625" style="1" customWidth="1"/>
    <col min="16169" max="16177" width="17.7265625" style="1" customWidth="1"/>
    <col min="16178" max="16184" width="18.7265625" style="1" customWidth="1"/>
    <col min="16185" max="16193" width="17.7265625" style="1" customWidth="1"/>
    <col min="16194" max="16200" width="18.7265625" style="1" customWidth="1"/>
    <col min="16201" max="16209" width="17.54296875" style="1" customWidth="1"/>
    <col min="16210" max="16216" width="18.54296875" style="1" customWidth="1"/>
    <col min="16217" max="16225" width="17.54296875" style="1" bestFit="1" customWidth="1"/>
    <col min="16226" max="16232" width="18.54296875" style="1" bestFit="1" customWidth="1"/>
    <col min="16233" max="16384" width="11.54296875" style="1"/>
  </cols>
  <sheetData>
    <row r="1" spans="1:104" ht="13.5" thickBot="1" x14ac:dyDescent="0.35">
      <c r="G1" s="2" t="s">
        <v>0</v>
      </c>
    </row>
    <row r="3" spans="1:104" ht="23.5" x14ac:dyDescent="0.55000000000000004">
      <c r="A3" s="783" t="s">
        <v>1</v>
      </c>
      <c r="B3" s="783"/>
      <c r="C3" s="783"/>
      <c r="D3" s="783"/>
      <c r="E3" s="783"/>
      <c r="F3" s="783"/>
      <c r="G3" s="783"/>
    </row>
    <row r="4" spans="1:104" ht="23.5" x14ac:dyDescent="0.55000000000000004">
      <c r="A4" s="783" t="s">
        <v>2</v>
      </c>
      <c r="B4" s="783"/>
      <c r="C4" s="783"/>
      <c r="D4" s="783"/>
      <c r="E4" s="783"/>
      <c r="F4" s="783"/>
      <c r="G4" s="783"/>
    </row>
    <row r="5" spans="1:104" ht="23.5" x14ac:dyDescent="0.55000000000000004">
      <c r="A5" s="783" t="s">
        <v>3</v>
      </c>
      <c r="B5" s="783"/>
      <c r="C5" s="783"/>
      <c r="D5" s="783"/>
      <c r="E5" s="783"/>
      <c r="F5" s="783"/>
      <c r="G5" s="783"/>
    </row>
    <row r="6" spans="1:104" ht="18.5" x14ac:dyDescent="0.45">
      <c r="A6" s="784" t="s">
        <v>279</v>
      </c>
      <c r="B6" s="784"/>
      <c r="C6" s="784"/>
      <c r="D6" s="784"/>
      <c r="E6" s="784"/>
      <c r="F6" s="784"/>
      <c r="G6" s="784"/>
      <c r="H6"/>
    </row>
    <row r="7" spans="1:104" ht="18.5" x14ac:dyDescent="0.45">
      <c r="A7" s="784" t="s">
        <v>4</v>
      </c>
      <c r="B7" s="784"/>
      <c r="C7" s="784"/>
      <c r="D7" s="784"/>
      <c r="E7" s="784"/>
      <c r="F7" s="784"/>
      <c r="G7" s="784"/>
    </row>
    <row r="9" spans="1:104" ht="13.5" thickBot="1" x14ac:dyDescent="0.35"/>
    <row r="10" spans="1:104" ht="13.5" thickBot="1" x14ac:dyDescent="0.35">
      <c r="A10" s="785" t="s">
        <v>5</v>
      </c>
      <c r="B10" s="788" t="s">
        <v>6</v>
      </c>
      <c r="C10" s="789"/>
      <c r="D10" s="790"/>
      <c r="E10" s="788" t="s">
        <v>7</v>
      </c>
      <c r="F10" s="789"/>
      <c r="G10" s="790"/>
    </row>
    <row r="11" spans="1:104" x14ac:dyDescent="0.3">
      <c r="A11" s="786"/>
      <c r="B11" s="653" t="s">
        <v>8</v>
      </c>
      <c r="C11" s="653" t="s">
        <v>8</v>
      </c>
      <c r="D11" s="654"/>
      <c r="E11" s="653" t="s">
        <v>8</v>
      </c>
      <c r="F11" s="653" t="s">
        <v>8</v>
      </c>
      <c r="G11" s="654"/>
    </row>
    <row r="12" spans="1:104" ht="13.5" thickBot="1" x14ac:dyDescent="0.35">
      <c r="A12" s="787"/>
      <c r="B12" s="26" t="s">
        <v>9</v>
      </c>
      <c r="C12" s="26" t="s">
        <v>10</v>
      </c>
      <c r="D12" s="26" t="s">
        <v>11</v>
      </c>
      <c r="E12" s="26" t="s">
        <v>9</v>
      </c>
      <c r="F12" s="26" t="s">
        <v>10</v>
      </c>
      <c r="G12" s="26" t="s">
        <v>11</v>
      </c>
    </row>
    <row r="13" spans="1:104" x14ac:dyDescent="0.3">
      <c r="A13" s="6"/>
      <c r="B13" s="6"/>
      <c r="C13" s="6"/>
      <c r="D13" s="6"/>
      <c r="E13" s="6"/>
      <c r="F13" s="6"/>
      <c r="G13" s="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4" x14ac:dyDescent="0.3">
      <c r="A14" s="8" t="s">
        <v>12</v>
      </c>
      <c r="B14" s="655">
        <v>7035</v>
      </c>
      <c r="C14" s="655">
        <v>332958</v>
      </c>
      <c r="D14" s="655">
        <v>10811472537.27</v>
      </c>
      <c r="E14" s="655">
        <v>23562</v>
      </c>
      <c r="F14" s="655">
        <v>160723</v>
      </c>
      <c r="G14" s="655">
        <v>24559566678.75</v>
      </c>
      <c r="I14" s="7"/>
    </row>
    <row r="15" spans="1:104" x14ac:dyDescent="0.3">
      <c r="A15" s="6"/>
      <c r="B15" s="656"/>
      <c r="C15" s="656"/>
      <c r="D15" s="656"/>
      <c r="E15" s="656"/>
      <c r="F15" s="656"/>
      <c r="G15" s="656"/>
    </row>
    <row r="16" spans="1:104" x14ac:dyDescent="0.3">
      <c r="A16" s="11" t="s">
        <v>13</v>
      </c>
      <c r="B16" s="655">
        <v>1685</v>
      </c>
      <c r="C16" s="655">
        <v>235753</v>
      </c>
      <c r="D16" s="655">
        <v>2654488963.3499999</v>
      </c>
      <c r="E16" s="655">
        <v>4976</v>
      </c>
      <c r="F16" s="655">
        <v>56343</v>
      </c>
      <c r="G16" s="655">
        <v>8915617585.5599995</v>
      </c>
    </row>
    <row r="17" spans="1:9" x14ac:dyDescent="0.3">
      <c r="A17" s="6"/>
      <c r="B17" s="656"/>
      <c r="C17" s="656"/>
      <c r="D17" s="656"/>
      <c r="E17" s="656"/>
      <c r="F17" s="656"/>
      <c r="G17" s="656"/>
    </row>
    <row r="18" spans="1:9" ht="14.5" x14ac:dyDescent="0.35">
      <c r="A18" s="6" t="s">
        <v>14</v>
      </c>
      <c r="B18" s="656">
        <v>1170</v>
      </c>
      <c r="C18" s="656">
        <v>39548</v>
      </c>
      <c r="D18" s="656">
        <v>1523827533.4000001</v>
      </c>
      <c r="E18" s="656">
        <v>4339</v>
      </c>
      <c r="F18" s="656">
        <v>33522</v>
      </c>
      <c r="G18" s="656">
        <v>5559301180.4899998</v>
      </c>
      <c r="H18"/>
      <c r="I18" s="657"/>
    </row>
    <row r="19" spans="1:9" ht="14.5" x14ac:dyDescent="0.35">
      <c r="A19" s="12" t="s">
        <v>15</v>
      </c>
      <c r="B19" s="656">
        <v>0</v>
      </c>
      <c r="C19" s="656">
        <v>172422</v>
      </c>
      <c r="D19" s="656">
        <v>153062627.49000001</v>
      </c>
      <c r="E19" s="656">
        <v>0</v>
      </c>
      <c r="F19" s="656">
        <v>15301</v>
      </c>
      <c r="G19" s="656">
        <v>2931533230.2399998</v>
      </c>
      <c r="H19"/>
      <c r="I19" s="657"/>
    </row>
    <row r="20" spans="1:9" ht="14.5" x14ac:dyDescent="0.35">
      <c r="A20" s="6" t="s">
        <v>16</v>
      </c>
      <c r="B20" s="656">
        <v>0</v>
      </c>
      <c r="C20" s="656">
        <v>0</v>
      </c>
      <c r="D20" s="656">
        <v>8000</v>
      </c>
      <c r="E20" s="656">
        <v>0</v>
      </c>
      <c r="F20" s="656">
        <v>0</v>
      </c>
      <c r="G20" s="656">
        <v>290969502.36000001</v>
      </c>
      <c r="H20"/>
      <c r="I20" s="657"/>
    </row>
    <row r="21" spans="1:9" ht="14.5" x14ac:dyDescent="0.35">
      <c r="A21" s="6" t="s">
        <v>17</v>
      </c>
      <c r="B21" s="656">
        <v>515</v>
      </c>
      <c r="C21" s="656">
        <v>23783</v>
      </c>
      <c r="D21" s="656">
        <v>977590802.45999992</v>
      </c>
      <c r="E21" s="656">
        <v>637</v>
      </c>
      <c r="F21" s="656">
        <v>7520</v>
      </c>
      <c r="G21" s="656">
        <v>133813672.47</v>
      </c>
      <c r="H21"/>
      <c r="I21" s="657"/>
    </row>
    <row r="22" spans="1:9" ht="14.5" x14ac:dyDescent="0.35">
      <c r="A22" s="6"/>
      <c r="B22" s="656"/>
      <c r="C22" s="656"/>
      <c r="D22" s="656"/>
      <c r="E22" s="656"/>
      <c r="F22" s="656"/>
      <c r="G22" s="656"/>
      <c r="H22"/>
      <c r="I22" s="657"/>
    </row>
    <row r="23" spans="1:9" x14ac:dyDescent="0.3">
      <c r="A23" s="11" t="s">
        <v>18</v>
      </c>
      <c r="B23" s="655">
        <v>1640</v>
      </c>
      <c r="C23" s="655">
        <v>151320</v>
      </c>
      <c r="D23" s="655">
        <v>2802868565.6300001</v>
      </c>
      <c r="E23" s="655">
        <v>6152</v>
      </c>
      <c r="F23" s="655">
        <v>42199</v>
      </c>
      <c r="G23" s="655">
        <v>6701906846.9399996</v>
      </c>
    </row>
    <row r="24" spans="1:9" x14ac:dyDescent="0.3">
      <c r="A24" s="6"/>
      <c r="B24" s="656"/>
      <c r="C24" s="656"/>
      <c r="D24" s="656"/>
      <c r="E24" s="656"/>
      <c r="F24" s="656"/>
      <c r="G24" s="656"/>
    </row>
    <row r="25" spans="1:9" x14ac:dyDescent="0.3">
      <c r="A25" s="6" t="s">
        <v>19</v>
      </c>
      <c r="B25" s="656">
        <v>5</v>
      </c>
      <c r="C25" s="656">
        <v>73</v>
      </c>
      <c r="D25" s="656">
        <v>28385.78</v>
      </c>
      <c r="E25" s="656">
        <v>21</v>
      </c>
      <c r="F25" s="656">
        <v>3907</v>
      </c>
      <c r="G25" s="656">
        <v>22984523.100000001</v>
      </c>
    </row>
    <row r="26" spans="1:9" x14ac:dyDescent="0.3">
      <c r="A26" s="6" t="s">
        <v>20</v>
      </c>
      <c r="B26" s="656">
        <v>0</v>
      </c>
      <c r="C26" s="656">
        <v>0</v>
      </c>
      <c r="D26" s="656">
        <v>0</v>
      </c>
      <c r="E26" s="656">
        <v>0</v>
      </c>
      <c r="F26" s="656">
        <v>0</v>
      </c>
      <c r="G26" s="656">
        <v>37941438.5</v>
      </c>
    </row>
    <row r="27" spans="1:9" x14ac:dyDescent="0.3">
      <c r="A27" s="6" t="s">
        <v>21</v>
      </c>
      <c r="B27" s="656">
        <v>1008</v>
      </c>
      <c r="C27" s="656">
        <v>9456</v>
      </c>
      <c r="D27" s="656">
        <v>871865516.7700001</v>
      </c>
      <c r="E27" s="656">
        <v>2412</v>
      </c>
      <c r="F27" s="656">
        <v>17826</v>
      </c>
      <c r="G27" s="656">
        <v>2109006441.1700001</v>
      </c>
    </row>
    <row r="28" spans="1:9" x14ac:dyDescent="0.3">
      <c r="A28" s="6" t="s">
        <v>22</v>
      </c>
      <c r="B28" s="656">
        <v>0</v>
      </c>
      <c r="C28" s="656">
        <v>67790</v>
      </c>
      <c r="D28" s="656">
        <v>194952582.85999998</v>
      </c>
      <c r="E28" s="656">
        <v>0</v>
      </c>
      <c r="F28" s="656">
        <v>7710</v>
      </c>
      <c r="G28" s="656">
        <v>1559237687.5900002</v>
      </c>
      <c r="I28" s="39"/>
    </row>
    <row r="29" spans="1:9" x14ac:dyDescent="0.3">
      <c r="A29" s="6" t="s">
        <v>23</v>
      </c>
      <c r="B29" s="656">
        <v>331</v>
      </c>
      <c r="C29" s="656">
        <v>6233</v>
      </c>
      <c r="D29" s="656">
        <v>339666932.96000004</v>
      </c>
      <c r="E29" s="656">
        <v>837</v>
      </c>
      <c r="F29" s="656">
        <v>6456</v>
      </c>
      <c r="G29" s="656">
        <v>2131711531.26</v>
      </c>
    </row>
    <row r="30" spans="1:9" x14ac:dyDescent="0.3">
      <c r="A30" s="6" t="s">
        <v>24</v>
      </c>
      <c r="B30" s="656">
        <v>292</v>
      </c>
      <c r="C30" s="656">
        <v>16127</v>
      </c>
      <c r="D30" s="656">
        <v>586029061.13999999</v>
      </c>
      <c r="E30" s="656">
        <v>624</v>
      </c>
      <c r="F30" s="656">
        <v>4614</v>
      </c>
      <c r="G30" s="656">
        <v>303126149.41000003</v>
      </c>
    </row>
    <row r="31" spans="1:9" x14ac:dyDescent="0.3">
      <c r="A31" s="6" t="s">
        <v>25</v>
      </c>
      <c r="B31" s="656">
        <v>0</v>
      </c>
      <c r="C31" s="656">
        <v>0</v>
      </c>
      <c r="D31" s="656">
        <v>0</v>
      </c>
      <c r="E31" s="656">
        <v>0</v>
      </c>
      <c r="F31" s="656">
        <v>0</v>
      </c>
      <c r="G31" s="656">
        <v>0</v>
      </c>
    </row>
    <row r="32" spans="1:9" x14ac:dyDescent="0.3">
      <c r="A32" s="6" t="s">
        <v>17</v>
      </c>
      <c r="B32" s="656">
        <v>4</v>
      </c>
      <c r="C32" s="656">
        <v>51641</v>
      </c>
      <c r="D32" s="656">
        <v>810326086.12</v>
      </c>
      <c r="E32" s="656">
        <v>2258</v>
      </c>
      <c r="F32" s="656">
        <v>1686</v>
      </c>
      <c r="G32" s="656">
        <v>537899075.90999997</v>
      </c>
    </row>
    <row r="33" spans="1:7" x14ac:dyDescent="0.3">
      <c r="A33" s="6"/>
      <c r="B33" s="656"/>
      <c r="C33" s="656"/>
      <c r="D33" s="656"/>
      <c r="E33" s="656"/>
      <c r="F33" s="656"/>
      <c r="G33" s="656"/>
    </row>
    <row r="34" spans="1:7" x14ac:dyDescent="0.3">
      <c r="A34" s="11" t="s">
        <v>26</v>
      </c>
      <c r="B34" s="655">
        <v>7080</v>
      </c>
      <c r="C34" s="655">
        <v>417391</v>
      </c>
      <c r="D34" s="655">
        <v>10663092934.990002</v>
      </c>
      <c r="E34" s="655">
        <v>22386</v>
      </c>
      <c r="F34" s="655">
        <v>174867</v>
      </c>
      <c r="G34" s="655">
        <v>26773277417.369999</v>
      </c>
    </row>
    <row r="35" spans="1:7" ht="13.5" thickBot="1" x14ac:dyDescent="0.35">
      <c r="A35" s="13"/>
      <c r="B35" s="658"/>
      <c r="C35" s="658"/>
      <c r="D35" s="658"/>
      <c r="E35" s="658"/>
      <c r="F35" s="658"/>
      <c r="G35" s="658"/>
    </row>
    <row r="36" spans="1:7" x14ac:dyDescent="0.3">
      <c r="A36" s="7" t="s">
        <v>71</v>
      </c>
      <c r="D36" s="659"/>
    </row>
    <row r="37" spans="1:7" x14ac:dyDescent="0.3">
      <c r="A37" s="7" t="s">
        <v>28</v>
      </c>
      <c r="D37" s="16"/>
      <c r="G37" s="16"/>
    </row>
    <row r="38" spans="1:7" x14ac:dyDescent="0.3">
      <c r="A38" s="7" t="s">
        <v>29</v>
      </c>
    </row>
    <row r="39" spans="1:7" x14ac:dyDescent="0.3">
      <c r="A39" s="7" t="s">
        <v>75</v>
      </c>
    </row>
    <row r="40" spans="1:7" x14ac:dyDescent="0.3">
      <c r="A40" s="7" t="s">
        <v>30</v>
      </c>
      <c r="B40" s="17"/>
      <c r="C40" s="17"/>
      <c r="D40" s="18"/>
      <c r="E40" s="17"/>
      <c r="F40" s="17"/>
      <c r="G40" s="17"/>
    </row>
  </sheetData>
  <mergeCells count="8">
    <mergeCell ref="A10:A12"/>
    <mergeCell ref="B10:D10"/>
    <mergeCell ref="E10:G10"/>
    <mergeCell ref="A3:G3"/>
    <mergeCell ref="A4:G4"/>
    <mergeCell ref="A5:G5"/>
    <mergeCell ref="A6:G6"/>
    <mergeCell ref="A7:G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Z40"/>
  <sheetViews>
    <sheetView topLeftCell="A16" workbookViewId="0">
      <selection activeCell="B9" sqref="B9:G11"/>
    </sheetView>
  </sheetViews>
  <sheetFormatPr baseColWidth="10" defaultColWidth="11.453125" defaultRowHeight="13" x14ac:dyDescent="0.3"/>
  <cols>
    <col min="1" max="1" width="45.54296875" style="1" customWidth="1"/>
    <col min="2" max="2" width="8.81640625" style="1" bestFit="1" customWidth="1"/>
    <col min="3" max="3" width="13.7265625" style="1" bestFit="1" customWidth="1"/>
    <col min="4" max="4" width="16.81640625" style="1" customWidth="1"/>
    <col min="5" max="5" width="8.81640625" style="1" bestFit="1" customWidth="1"/>
    <col min="6" max="6" width="13.7265625" style="1" bestFit="1" customWidth="1"/>
    <col min="7" max="7" width="17.26953125" style="1" customWidth="1"/>
    <col min="8" max="8" width="15.81640625" style="1" bestFit="1" customWidth="1"/>
    <col min="9" max="17" width="17.7265625" style="1" customWidth="1"/>
    <col min="18" max="24" width="18.7265625" style="1" customWidth="1"/>
    <col min="25" max="33" width="17.7265625" style="1" customWidth="1"/>
    <col min="34" max="40" width="18.7265625" style="1" customWidth="1"/>
    <col min="41" max="49" width="17.7265625" style="1" customWidth="1"/>
    <col min="50" max="56" width="18.7265625" style="1" customWidth="1"/>
    <col min="57" max="65" width="17.7265625" style="1" customWidth="1"/>
    <col min="66" max="72" width="18.7265625" style="1" customWidth="1"/>
    <col min="73" max="81" width="17.54296875" style="1" customWidth="1"/>
    <col min="82" max="88" width="18.54296875" style="1" customWidth="1"/>
    <col min="89" max="97" width="17.54296875" style="1" bestFit="1" customWidth="1"/>
    <col min="98" max="104" width="18.54296875" style="1" bestFit="1" customWidth="1"/>
    <col min="105" max="256" width="11.54296875" style="1"/>
    <col min="257" max="257" width="45.54296875" style="1" customWidth="1"/>
    <col min="258" max="258" width="8.81640625" style="1" bestFit="1" customWidth="1"/>
    <col min="259" max="259" width="13.7265625" style="1" bestFit="1" customWidth="1"/>
    <col min="260" max="260" width="16.81640625" style="1" customWidth="1"/>
    <col min="261" max="261" width="8.81640625" style="1" bestFit="1" customWidth="1"/>
    <col min="262" max="262" width="13.7265625" style="1" bestFit="1" customWidth="1"/>
    <col min="263" max="263" width="17.26953125" style="1" customWidth="1"/>
    <col min="264" max="264" width="15.81640625" style="1" bestFit="1" customWidth="1"/>
    <col min="265" max="273" width="17.7265625" style="1" customWidth="1"/>
    <col min="274" max="280" width="18.7265625" style="1" customWidth="1"/>
    <col min="281" max="289" width="17.7265625" style="1" customWidth="1"/>
    <col min="290" max="296" width="18.7265625" style="1" customWidth="1"/>
    <col min="297" max="305" width="17.7265625" style="1" customWidth="1"/>
    <col min="306" max="312" width="18.7265625" style="1" customWidth="1"/>
    <col min="313" max="321" width="17.7265625" style="1" customWidth="1"/>
    <col min="322" max="328" width="18.7265625" style="1" customWidth="1"/>
    <col min="329" max="337" width="17.54296875" style="1" customWidth="1"/>
    <col min="338" max="344" width="18.54296875" style="1" customWidth="1"/>
    <col min="345" max="353" width="17.54296875" style="1" bestFit="1" customWidth="1"/>
    <col min="354" max="360" width="18.54296875" style="1" bestFit="1" customWidth="1"/>
    <col min="361" max="512" width="11.54296875" style="1"/>
    <col min="513" max="513" width="45.54296875" style="1" customWidth="1"/>
    <col min="514" max="514" width="8.81640625" style="1" bestFit="1" customWidth="1"/>
    <col min="515" max="515" width="13.7265625" style="1" bestFit="1" customWidth="1"/>
    <col min="516" max="516" width="16.81640625" style="1" customWidth="1"/>
    <col min="517" max="517" width="8.81640625" style="1" bestFit="1" customWidth="1"/>
    <col min="518" max="518" width="13.7265625" style="1" bestFit="1" customWidth="1"/>
    <col min="519" max="519" width="17.26953125" style="1" customWidth="1"/>
    <col min="520" max="520" width="15.81640625" style="1" bestFit="1" customWidth="1"/>
    <col min="521" max="529" width="17.7265625" style="1" customWidth="1"/>
    <col min="530" max="536" width="18.7265625" style="1" customWidth="1"/>
    <col min="537" max="545" width="17.7265625" style="1" customWidth="1"/>
    <col min="546" max="552" width="18.7265625" style="1" customWidth="1"/>
    <col min="553" max="561" width="17.7265625" style="1" customWidth="1"/>
    <col min="562" max="568" width="18.7265625" style="1" customWidth="1"/>
    <col min="569" max="577" width="17.7265625" style="1" customWidth="1"/>
    <col min="578" max="584" width="18.7265625" style="1" customWidth="1"/>
    <col min="585" max="593" width="17.54296875" style="1" customWidth="1"/>
    <col min="594" max="600" width="18.54296875" style="1" customWidth="1"/>
    <col min="601" max="609" width="17.54296875" style="1" bestFit="1" customWidth="1"/>
    <col min="610" max="616" width="18.54296875" style="1" bestFit="1" customWidth="1"/>
    <col min="617" max="768" width="11.54296875" style="1"/>
    <col min="769" max="769" width="45.54296875" style="1" customWidth="1"/>
    <col min="770" max="770" width="8.81640625" style="1" bestFit="1" customWidth="1"/>
    <col min="771" max="771" width="13.7265625" style="1" bestFit="1" customWidth="1"/>
    <col min="772" max="772" width="16.81640625" style="1" customWidth="1"/>
    <col min="773" max="773" width="8.81640625" style="1" bestFit="1" customWidth="1"/>
    <col min="774" max="774" width="13.7265625" style="1" bestFit="1" customWidth="1"/>
    <col min="775" max="775" width="17.26953125" style="1" customWidth="1"/>
    <col min="776" max="776" width="15.81640625" style="1" bestFit="1" customWidth="1"/>
    <col min="777" max="785" width="17.7265625" style="1" customWidth="1"/>
    <col min="786" max="792" width="18.7265625" style="1" customWidth="1"/>
    <col min="793" max="801" width="17.7265625" style="1" customWidth="1"/>
    <col min="802" max="808" width="18.7265625" style="1" customWidth="1"/>
    <col min="809" max="817" width="17.7265625" style="1" customWidth="1"/>
    <col min="818" max="824" width="18.7265625" style="1" customWidth="1"/>
    <col min="825" max="833" width="17.7265625" style="1" customWidth="1"/>
    <col min="834" max="840" width="18.7265625" style="1" customWidth="1"/>
    <col min="841" max="849" width="17.54296875" style="1" customWidth="1"/>
    <col min="850" max="856" width="18.54296875" style="1" customWidth="1"/>
    <col min="857" max="865" width="17.54296875" style="1" bestFit="1" customWidth="1"/>
    <col min="866" max="872" width="18.54296875" style="1" bestFit="1" customWidth="1"/>
    <col min="873" max="1024" width="11.54296875" style="1"/>
    <col min="1025" max="1025" width="45.54296875" style="1" customWidth="1"/>
    <col min="1026" max="1026" width="8.81640625" style="1" bestFit="1" customWidth="1"/>
    <col min="1027" max="1027" width="13.7265625" style="1" bestFit="1" customWidth="1"/>
    <col min="1028" max="1028" width="16.81640625" style="1" customWidth="1"/>
    <col min="1029" max="1029" width="8.81640625" style="1" bestFit="1" customWidth="1"/>
    <col min="1030" max="1030" width="13.7265625" style="1" bestFit="1" customWidth="1"/>
    <col min="1031" max="1031" width="17.26953125" style="1" customWidth="1"/>
    <col min="1032" max="1032" width="15.81640625" style="1" bestFit="1" customWidth="1"/>
    <col min="1033" max="1041" width="17.7265625" style="1" customWidth="1"/>
    <col min="1042" max="1048" width="18.7265625" style="1" customWidth="1"/>
    <col min="1049" max="1057" width="17.7265625" style="1" customWidth="1"/>
    <col min="1058" max="1064" width="18.7265625" style="1" customWidth="1"/>
    <col min="1065" max="1073" width="17.7265625" style="1" customWidth="1"/>
    <col min="1074" max="1080" width="18.7265625" style="1" customWidth="1"/>
    <col min="1081" max="1089" width="17.7265625" style="1" customWidth="1"/>
    <col min="1090" max="1096" width="18.7265625" style="1" customWidth="1"/>
    <col min="1097" max="1105" width="17.54296875" style="1" customWidth="1"/>
    <col min="1106" max="1112" width="18.54296875" style="1" customWidth="1"/>
    <col min="1113" max="1121" width="17.54296875" style="1" bestFit="1" customWidth="1"/>
    <col min="1122" max="1128" width="18.54296875" style="1" bestFit="1" customWidth="1"/>
    <col min="1129" max="1280" width="11.54296875" style="1"/>
    <col min="1281" max="1281" width="45.54296875" style="1" customWidth="1"/>
    <col min="1282" max="1282" width="8.81640625" style="1" bestFit="1" customWidth="1"/>
    <col min="1283" max="1283" width="13.7265625" style="1" bestFit="1" customWidth="1"/>
    <col min="1284" max="1284" width="16.81640625" style="1" customWidth="1"/>
    <col min="1285" max="1285" width="8.81640625" style="1" bestFit="1" customWidth="1"/>
    <col min="1286" max="1286" width="13.7265625" style="1" bestFit="1" customWidth="1"/>
    <col min="1287" max="1287" width="17.26953125" style="1" customWidth="1"/>
    <col min="1288" max="1288" width="15.81640625" style="1" bestFit="1" customWidth="1"/>
    <col min="1289" max="1297" width="17.7265625" style="1" customWidth="1"/>
    <col min="1298" max="1304" width="18.7265625" style="1" customWidth="1"/>
    <col min="1305" max="1313" width="17.7265625" style="1" customWidth="1"/>
    <col min="1314" max="1320" width="18.7265625" style="1" customWidth="1"/>
    <col min="1321" max="1329" width="17.7265625" style="1" customWidth="1"/>
    <col min="1330" max="1336" width="18.7265625" style="1" customWidth="1"/>
    <col min="1337" max="1345" width="17.7265625" style="1" customWidth="1"/>
    <col min="1346" max="1352" width="18.7265625" style="1" customWidth="1"/>
    <col min="1353" max="1361" width="17.54296875" style="1" customWidth="1"/>
    <col min="1362" max="1368" width="18.54296875" style="1" customWidth="1"/>
    <col min="1369" max="1377" width="17.54296875" style="1" bestFit="1" customWidth="1"/>
    <col min="1378" max="1384" width="18.54296875" style="1" bestFit="1" customWidth="1"/>
    <col min="1385" max="1536" width="11.54296875" style="1"/>
    <col min="1537" max="1537" width="45.54296875" style="1" customWidth="1"/>
    <col min="1538" max="1538" width="8.81640625" style="1" bestFit="1" customWidth="1"/>
    <col min="1539" max="1539" width="13.7265625" style="1" bestFit="1" customWidth="1"/>
    <col min="1540" max="1540" width="16.81640625" style="1" customWidth="1"/>
    <col min="1541" max="1541" width="8.81640625" style="1" bestFit="1" customWidth="1"/>
    <col min="1542" max="1542" width="13.7265625" style="1" bestFit="1" customWidth="1"/>
    <col min="1543" max="1543" width="17.26953125" style="1" customWidth="1"/>
    <col min="1544" max="1544" width="15.81640625" style="1" bestFit="1" customWidth="1"/>
    <col min="1545" max="1553" width="17.7265625" style="1" customWidth="1"/>
    <col min="1554" max="1560" width="18.7265625" style="1" customWidth="1"/>
    <col min="1561" max="1569" width="17.7265625" style="1" customWidth="1"/>
    <col min="1570" max="1576" width="18.7265625" style="1" customWidth="1"/>
    <col min="1577" max="1585" width="17.7265625" style="1" customWidth="1"/>
    <col min="1586" max="1592" width="18.7265625" style="1" customWidth="1"/>
    <col min="1593" max="1601" width="17.7265625" style="1" customWidth="1"/>
    <col min="1602" max="1608" width="18.7265625" style="1" customWidth="1"/>
    <col min="1609" max="1617" width="17.54296875" style="1" customWidth="1"/>
    <col min="1618" max="1624" width="18.54296875" style="1" customWidth="1"/>
    <col min="1625" max="1633" width="17.54296875" style="1" bestFit="1" customWidth="1"/>
    <col min="1634" max="1640" width="18.54296875" style="1" bestFit="1" customWidth="1"/>
    <col min="1641" max="1792" width="11.54296875" style="1"/>
    <col min="1793" max="1793" width="45.54296875" style="1" customWidth="1"/>
    <col min="1794" max="1794" width="8.81640625" style="1" bestFit="1" customWidth="1"/>
    <col min="1795" max="1795" width="13.7265625" style="1" bestFit="1" customWidth="1"/>
    <col min="1796" max="1796" width="16.81640625" style="1" customWidth="1"/>
    <col min="1797" max="1797" width="8.81640625" style="1" bestFit="1" customWidth="1"/>
    <col min="1798" max="1798" width="13.7265625" style="1" bestFit="1" customWidth="1"/>
    <col min="1799" max="1799" width="17.26953125" style="1" customWidth="1"/>
    <col min="1800" max="1800" width="15.81640625" style="1" bestFit="1" customWidth="1"/>
    <col min="1801" max="1809" width="17.7265625" style="1" customWidth="1"/>
    <col min="1810" max="1816" width="18.7265625" style="1" customWidth="1"/>
    <col min="1817" max="1825" width="17.7265625" style="1" customWidth="1"/>
    <col min="1826" max="1832" width="18.7265625" style="1" customWidth="1"/>
    <col min="1833" max="1841" width="17.7265625" style="1" customWidth="1"/>
    <col min="1842" max="1848" width="18.7265625" style="1" customWidth="1"/>
    <col min="1849" max="1857" width="17.7265625" style="1" customWidth="1"/>
    <col min="1858" max="1864" width="18.7265625" style="1" customWidth="1"/>
    <col min="1865" max="1873" width="17.54296875" style="1" customWidth="1"/>
    <col min="1874" max="1880" width="18.54296875" style="1" customWidth="1"/>
    <col min="1881" max="1889" width="17.54296875" style="1" bestFit="1" customWidth="1"/>
    <col min="1890" max="1896" width="18.54296875" style="1" bestFit="1" customWidth="1"/>
    <col min="1897" max="2048" width="11.54296875" style="1"/>
    <col min="2049" max="2049" width="45.54296875" style="1" customWidth="1"/>
    <col min="2050" max="2050" width="8.81640625" style="1" bestFit="1" customWidth="1"/>
    <col min="2051" max="2051" width="13.7265625" style="1" bestFit="1" customWidth="1"/>
    <col min="2052" max="2052" width="16.81640625" style="1" customWidth="1"/>
    <col min="2053" max="2053" width="8.81640625" style="1" bestFit="1" customWidth="1"/>
    <col min="2054" max="2054" width="13.7265625" style="1" bestFit="1" customWidth="1"/>
    <col min="2055" max="2055" width="17.26953125" style="1" customWidth="1"/>
    <col min="2056" max="2056" width="15.81640625" style="1" bestFit="1" customWidth="1"/>
    <col min="2057" max="2065" width="17.7265625" style="1" customWidth="1"/>
    <col min="2066" max="2072" width="18.7265625" style="1" customWidth="1"/>
    <col min="2073" max="2081" width="17.7265625" style="1" customWidth="1"/>
    <col min="2082" max="2088" width="18.7265625" style="1" customWidth="1"/>
    <col min="2089" max="2097" width="17.7265625" style="1" customWidth="1"/>
    <col min="2098" max="2104" width="18.7265625" style="1" customWidth="1"/>
    <col min="2105" max="2113" width="17.7265625" style="1" customWidth="1"/>
    <col min="2114" max="2120" width="18.7265625" style="1" customWidth="1"/>
    <col min="2121" max="2129" width="17.54296875" style="1" customWidth="1"/>
    <col min="2130" max="2136" width="18.54296875" style="1" customWidth="1"/>
    <col min="2137" max="2145" width="17.54296875" style="1" bestFit="1" customWidth="1"/>
    <col min="2146" max="2152" width="18.54296875" style="1" bestFit="1" customWidth="1"/>
    <col min="2153" max="2304" width="11.54296875" style="1"/>
    <col min="2305" max="2305" width="45.54296875" style="1" customWidth="1"/>
    <col min="2306" max="2306" width="8.81640625" style="1" bestFit="1" customWidth="1"/>
    <col min="2307" max="2307" width="13.7265625" style="1" bestFit="1" customWidth="1"/>
    <col min="2308" max="2308" width="16.81640625" style="1" customWidth="1"/>
    <col min="2309" max="2309" width="8.81640625" style="1" bestFit="1" customWidth="1"/>
    <col min="2310" max="2310" width="13.7265625" style="1" bestFit="1" customWidth="1"/>
    <col min="2311" max="2311" width="17.26953125" style="1" customWidth="1"/>
    <col min="2312" max="2312" width="15.81640625" style="1" bestFit="1" customWidth="1"/>
    <col min="2313" max="2321" width="17.7265625" style="1" customWidth="1"/>
    <col min="2322" max="2328" width="18.7265625" style="1" customWidth="1"/>
    <col min="2329" max="2337" width="17.7265625" style="1" customWidth="1"/>
    <col min="2338" max="2344" width="18.7265625" style="1" customWidth="1"/>
    <col min="2345" max="2353" width="17.7265625" style="1" customWidth="1"/>
    <col min="2354" max="2360" width="18.7265625" style="1" customWidth="1"/>
    <col min="2361" max="2369" width="17.7265625" style="1" customWidth="1"/>
    <col min="2370" max="2376" width="18.7265625" style="1" customWidth="1"/>
    <col min="2377" max="2385" width="17.54296875" style="1" customWidth="1"/>
    <col min="2386" max="2392" width="18.54296875" style="1" customWidth="1"/>
    <col min="2393" max="2401" width="17.54296875" style="1" bestFit="1" customWidth="1"/>
    <col min="2402" max="2408" width="18.54296875" style="1" bestFit="1" customWidth="1"/>
    <col min="2409" max="2560" width="11.54296875" style="1"/>
    <col min="2561" max="2561" width="45.54296875" style="1" customWidth="1"/>
    <col min="2562" max="2562" width="8.81640625" style="1" bestFit="1" customWidth="1"/>
    <col min="2563" max="2563" width="13.7265625" style="1" bestFit="1" customWidth="1"/>
    <col min="2564" max="2564" width="16.81640625" style="1" customWidth="1"/>
    <col min="2565" max="2565" width="8.81640625" style="1" bestFit="1" customWidth="1"/>
    <col min="2566" max="2566" width="13.7265625" style="1" bestFit="1" customWidth="1"/>
    <col min="2567" max="2567" width="17.26953125" style="1" customWidth="1"/>
    <col min="2568" max="2568" width="15.81640625" style="1" bestFit="1" customWidth="1"/>
    <col min="2569" max="2577" width="17.7265625" style="1" customWidth="1"/>
    <col min="2578" max="2584" width="18.7265625" style="1" customWidth="1"/>
    <col min="2585" max="2593" width="17.7265625" style="1" customWidth="1"/>
    <col min="2594" max="2600" width="18.7265625" style="1" customWidth="1"/>
    <col min="2601" max="2609" width="17.7265625" style="1" customWidth="1"/>
    <col min="2610" max="2616" width="18.7265625" style="1" customWidth="1"/>
    <col min="2617" max="2625" width="17.7265625" style="1" customWidth="1"/>
    <col min="2626" max="2632" width="18.7265625" style="1" customWidth="1"/>
    <col min="2633" max="2641" width="17.54296875" style="1" customWidth="1"/>
    <col min="2642" max="2648" width="18.54296875" style="1" customWidth="1"/>
    <col min="2649" max="2657" width="17.54296875" style="1" bestFit="1" customWidth="1"/>
    <col min="2658" max="2664" width="18.54296875" style="1" bestFit="1" customWidth="1"/>
    <col min="2665" max="2816" width="11.54296875" style="1"/>
    <col min="2817" max="2817" width="45.54296875" style="1" customWidth="1"/>
    <col min="2818" max="2818" width="8.81640625" style="1" bestFit="1" customWidth="1"/>
    <col min="2819" max="2819" width="13.7265625" style="1" bestFit="1" customWidth="1"/>
    <col min="2820" max="2820" width="16.81640625" style="1" customWidth="1"/>
    <col min="2821" max="2821" width="8.81640625" style="1" bestFit="1" customWidth="1"/>
    <col min="2822" max="2822" width="13.7265625" style="1" bestFit="1" customWidth="1"/>
    <col min="2823" max="2823" width="17.26953125" style="1" customWidth="1"/>
    <col min="2824" max="2824" width="15.81640625" style="1" bestFit="1" customWidth="1"/>
    <col min="2825" max="2833" width="17.7265625" style="1" customWidth="1"/>
    <col min="2834" max="2840" width="18.7265625" style="1" customWidth="1"/>
    <col min="2841" max="2849" width="17.7265625" style="1" customWidth="1"/>
    <col min="2850" max="2856" width="18.7265625" style="1" customWidth="1"/>
    <col min="2857" max="2865" width="17.7265625" style="1" customWidth="1"/>
    <col min="2866" max="2872" width="18.7265625" style="1" customWidth="1"/>
    <col min="2873" max="2881" width="17.7265625" style="1" customWidth="1"/>
    <col min="2882" max="2888" width="18.7265625" style="1" customWidth="1"/>
    <col min="2889" max="2897" width="17.54296875" style="1" customWidth="1"/>
    <col min="2898" max="2904" width="18.54296875" style="1" customWidth="1"/>
    <col min="2905" max="2913" width="17.54296875" style="1" bestFit="1" customWidth="1"/>
    <col min="2914" max="2920" width="18.54296875" style="1" bestFit="1" customWidth="1"/>
    <col min="2921" max="3072" width="11.54296875" style="1"/>
    <col min="3073" max="3073" width="45.54296875" style="1" customWidth="1"/>
    <col min="3074" max="3074" width="8.81640625" style="1" bestFit="1" customWidth="1"/>
    <col min="3075" max="3075" width="13.7265625" style="1" bestFit="1" customWidth="1"/>
    <col min="3076" max="3076" width="16.81640625" style="1" customWidth="1"/>
    <col min="3077" max="3077" width="8.81640625" style="1" bestFit="1" customWidth="1"/>
    <col min="3078" max="3078" width="13.7265625" style="1" bestFit="1" customWidth="1"/>
    <col min="3079" max="3079" width="17.26953125" style="1" customWidth="1"/>
    <col min="3080" max="3080" width="15.81640625" style="1" bestFit="1" customWidth="1"/>
    <col min="3081" max="3089" width="17.7265625" style="1" customWidth="1"/>
    <col min="3090" max="3096" width="18.7265625" style="1" customWidth="1"/>
    <col min="3097" max="3105" width="17.7265625" style="1" customWidth="1"/>
    <col min="3106" max="3112" width="18.7265625" style="1" customWidth="1"/>
    <col min="3113" max="3121" width="17.7265625" style="1" customWidth="1"/>
    <col min="3122" max="3128" width="18.7265625" style="1" customWidth="1"/>
    <col min="3129" max="3137" width="17.7265625" style="1" customWidth="1"/>
    <col min="3138" max="3144" width="18.7265625" style="1" customWidth="1"/>
    <col min="3145" max="3153" width="17.54296875" style="1" customWidth="1"/>
    <col min="3154" max="3160" width="18.54296875" style="1" customWidth="1"/>
    <col min="3161" max="3169" width="17.54296875" style="1" bestFit="1" customWidth="1"/>
    <col min="3170" max="3176" width="18.54296875" style="1" bestFit="1" customWidth="1"/>
    <col min="3177" max="3328" width="11.54296875" style="1"/>
    <col min="3329" max="3329" width="45.54296875" style="1" customWidth="1"/>
    <col min="3330" max="3330" width="8.81640625" style="1" bestFit="1" customWidth="1"/>
    <col min="3331" max="3331" width="13.7265625" style="1" bestFit="1" customWidth="1"/>
    <col min="3332" max="3332" width="16.81640625" style="1" customWidth="1"/>
    <col min="3333" max="3333" width="8.81640625" style="1" bestFit="1" customWidth="1"/>
    <col min="3334" max="3334" width="13.7265625" style="1" bestFit="1" customWidth="1"/>
    <col min="3335" max="3335" width="17.26953125" style="1" customWidth="1"/>
    <col min="3336" max="3336" width="15.81640625" style="1" bestFit="1" customWidth="1"/>
    <col min="3337" max="3345" width="17.7265625" style="1" customWidth="1"/>
    <col min="3346" max="3352" width="18.7265625" style="1" customWidth="1"/>
    <col min="3353" max="3361" width="17.7265625" style="1" customWidth="1"/>
    <col min="3362" max="3368" width="18.7265625" style="1" customWidth="1"/>
    <col min="3369" max="3377" width="17.7265625" style="1" customWidth="1"/>
    <col min="3378" max="3384" width="18.7265625" style="1" customWidth="1"/>
    <col min="3385" max="3393" width="17.7265625" style="1" customWidth="1"/>
    <col min="3394" max="3400" width="18.7265625" style="1" customWidth="1"/>
    <col min="3401" max="3409" width="17.54296875" style="1" customWidth="1"/>
    <col min="3410" max="3416" width="18.54296875" style="1" customWidth="1"/>
    <col min="3417" max="3425" width="17.54296875" style="1" bestFit="1" customWidth="1"/>
    <col min="3426" max="3432" width="18.54296875" style="1" bestFit="1" customWidth="1"/>
    <col min="3433" max="3584" width="11.54296875" style="1"/>
    <col min="3585" max="3585" width="45.54296875" style="1" customWidth="1"/>
    <col min="3586" max="3586" width="8.81640625" style="1" bestFit="1" customWidth="1"/>
    <col min="3587" max="3587" width="13.7265625" style="1" bestFit="1" customWidth="1"/>
    <col min="3588" max="3588" width="16.81640625" style="1" customWidth="1"/>
    <col min="3589" max="3589" width="8.81640625" style="1" bestFit="1" customWidth="1"/>
    <col min="3590" max="3590" width="13.7265625" style="1" bestFit="1" customWidth="1"/>
    <col min="3591" max="3591" width="17.26953125" style="1" customWidth="1"/>
    <col min="3592" max="3592" width="15.81640625" style="1" bestFit="1" customWidth="1"/>
    <col min="3593" max="3601" width="17.7265625" style="1" customWidth="1"/>
    <col min="3602" max="3608" width="18.7265625" style="1" customWidth="1"/>
    <col min="3609" max="3617" width="17.7265625" style="1" customWidth="1"/>
    <col min="3618" max="3624" width="18.7265625" style="1" customWidth="1"/>
    <col min="3625" max="3633" width="17.7265625" style="1" customWidth="1"/>
    <col min="3634" max="3640" width="18.7265625" style="1" customWidth="1"/>
    <col min="3641" max="3649" width="17.7265625" style="1" customWidth="1"/>
    <col min="3650" max="3656" width="18.7265625" style="1" customWidth="1"/>
    <col min="3657" max="3665" width="17.54296875" style="1" customWidth="1"/>
    <col min="3666" max="3672" width="18.54296875" style="1" customWidth="1"/>
    <col min="3673" max="3681" width="17.54296875" style="1" bestFit="1" customWidth="1"/>
    <col min="3682" max="3688" width="18.54296875" style="1" bestFit="1" customWidth="1"/>
    <col min="3689" max="3840" width="11.54296875" style="1"/>
    <col min="3841" max="3841" width="45.54296875" style="1" customWidth="1"/>
    <col min="3842" max="3842" width="8.81640625" style="1" bestFit="1" customWidth="1"/>
    <col min="3843" max="3843" width="13.7265625" style="1" bestFit="1" customWidth="1"/>
    <col min="3844" max="3844" width="16.81640625" style="1" customWidth="1"/>
    <col min="3845" max="3845" width="8.81640625" style="1" bestFit="1" customWidth="1"/>
    <col min="3846" max="3846" width="13.7265625" style="1" bestFit="1" customWidth="1"/>
    <col min="3847" max="3847" width="17.26953125" style="1" customWidth="1"/>
    <col min="3848" max="3848" width="15.81640625" style="1" bestFit="1" customWidth="1"/>
    <col min="3849" max="3857" width="17.7265625" style="1" customWidth="1"/>
    <col min="3858" max="3864" width="18.7265625" style="1" customWidth="1"/>
    <col min="3865" max="3873" width="17.7265625" style="1" customWidth="1"/>
    <col min="3874" max="3880" width="18.7265625" style="1" customWidth="1"/>
    <col min="3881" max="3889" width="17.7265625" style="1" customWidth="1"/>
    <col min="3890" max="3896" width="18.7265625" style="1" customWidth="1"/>
    <col min="3897" max="3905" width="17.7265625" style="1" customWidth="1"/>
    <col min="3906" max="3912" width="18.7265625" style="1" customWidth="1"/>
    <col min="3913" max="3921" width="17.54296875" style="1" customWidth="1"/>
    <col min="3922" max="3928" width="18.54296875" style="1" customWidth="1"/>
    <col min="3929" max="3937" width="17.54296875" style="1" bestFit="1" customWidth="1"/>
    <col min="3938" max="3944" width="18.54296875" style="1" bestFit="1" customWidth="1"/>
    <col min="3945" max="4096" width="11.54296875" style="1"/>
    <col min="4097" max="4097" width="45.54296875" style="1" customWidth="1"/>
    <col min="4098" max="4098" width="8.81640625" style="1" bestFit="1" customWidth="1"/>
    <col min="4099" max="4099" width="13.7265625" style="1" bestFit="1" customWidth="1"/>
    <col min="4100" max="4100" width="16.81640625" style="1" customWidth="1"/>
    <col min="4101" max="4101" width="8.81640625" style="1" bestFit="1" customWidth="1"/>
    <col min="4102" max="4102" width="13.7265625" style="1" bestFit="1" customWidth="1"/>
    <col min="4103" max="4103" width="17.26953125" style="1" customWidth="1"/>
    <col min="4104" max="4104" width="15.81640625" style="1" bestFit="1" customWidth="1"/>
    <col min="4105" max="4113" width="17.7265625" style="1" customWidth="1"/>
    <col min="4114" max="4120" width="18.7265625" style="1" customWidth="1"/>
    <col min="4121" max="4129" width="17.7265625" style="1" customWidth="1"/>
    <col min="4130" max="4136" width="18.7265625" style="1" customWidth="1"/>
    <col min="4137" max="4145" width="17.7265625" style="1" customWidth="1"/>
    <col min="4146" max="4152" width="18.7265625" style="1" customWidth="1"/>
    <col min="4153" max="4161" width="17.7265625" style="1" customWidth="1"/>
    <col min="4162" max="4168" width="18.7265625" style="1" customWidth="1"/>
    <col min="4169" max="4177" width="17.54296875" style="1" customWidth="1"/>
    <col min="4178" max="4184" width="18.54296875" style="1" customWidth="1"/>
    <col min="4185" max="4193" width="17.54296875" style="1" bestFit="1" customWidth="1"/>
    <col min="4194" max="4200" width="18.54296875" style="1" bestFit="1" customWidth="1"/>
    <col min="4201" max="4352" width="11.54296875" style="1"/>
    <col min="4353" max="4353" width="45.54296875" style="1" customWidth="1"/>
    <col min="4354" max="4354" width="8.81640625" style="1" bestFit="1" customWidth="1"/>
    <col min="4355" max="4355" width="13.7265625" style="1" bestFit="1" customWidth="1"/>
    <col min="4356" max="4356" width="16.81640625" style="1" customWidth="1"/>
    <col min="4357" max="4357" width="8.81640625" style="1" bestFit="1" customWidth="1"/>
    <col min="4358" max="4358" width="13.7265625" style="1" bestFit="1" customWidth="1"/>
    <col min="4359" max="4359" width="17.26953125" style="1" customWidth="1"/>
    <col min="4360" max="4360" width="15.81640625" style="1" bestFit="1" customWidth="1"/>
    <col min="4361" max="4369" width="17.7265625" style="1" customWidth="1"/>
    <col min="4370" max="4376" width="18.7265625" style="1" customWidth="1"/>
    <col min="4377" max="4385" width="17.7265625" style="1" customWidth="1"/>
    <col min="4386" max="4392" width="18.7265625" style="1" customWidth="1"/>
    <col min="4393" max="4401" width="17.7265625" style="1" customWidth="1"/>
    <col min="4402" max="4408" width="18.7265625" style="1" customWidth="1"/>
    <col min="4409" max="4417" width="17.7265625" style="1" customWidth="1"/>
    <col min="4418" max="4424" width="18.7265625" style="1" customWidth="1"/>
    <col min="4425" max="4433" width="17.54296875" style="1" customWidth="1"/>
    <col min="4434" max="4440" width="18.54296875" style="1" customWidth="1"/>
    <col min="4441" max="4449" width="17.54296875" style="1" bestFit="1" customWidth="1"/>
    <col min="4450" max="4456" width="18.54296875" style="1" bestFit="1" customWidth="1"/>
    <col min="4457" max="4608" width="11.54296875" style="1"/>
    <col min="4609" max="4609" width="45.54296875" style="1" customWidth="1"/>
    <col min="4610" max="4610" width="8.81640625" style="1" bestFit="1" customWidth="1"/>
    <col min="4611" max="4611" width="13.7265625" style="1" bestFit="1" customWidth="1"/>
    <col min="4612" max="4612" width="16.81640625" style="1" customWidth="1"/>
    <col min="4613" max="4613" width="8.81640625" style="1" bestFit="1" customWidth="1"/>
    <col min="4614" max="4614" width="13.7265625" style="1" bestFit="1" customWidth="1"/>
    <col min="4615" max="4615" width="17.26953125" style="1" customWidth="1"/>
    <col min="4616" max="4616" width="15.81640625" style="1" bestFit="1" customWidth="1"/>
    <col min="4617" max="4625" width="17.7265625" style="1" customWidth="1"/>
    <col min="4626" max="4632" width="18.7265625" style="1" customWidth="1"/>
    <col min="4633" max="4641" width="17.7265625" style="1" customWidth="1"/>
    <col min="4642" max="4648" width="18.7265625" style="1" customWidth="1"/>
    <col min="4649" max="4657" width="17.7265625" style="1" customWidth="1"/>
    <col min="4658" max="4664" width="18.7265625" style="1" customWidth="1"/>
    <col min="4665" max="4673" width="17.7265625" style="1" customWidth="1"/>
    <col min="4674" max="4680" width="18.7265625" style="1" customWidth="1"/>
    <col min="4681" max="4689" width="17.54296875" style="1" customWidth="1"/>
    <col min="4690" max="4696" width="18.54296875" style="1" customWidth="1"/>
    <col min="4697" max="4705" width="17.54296875" style="1" bestFit="1" customWidth="1"/>
    <col min="4706" max="4712" width="18.54296875" style="1" bestFit="1" customWidth="1"/>
    <col min="4713" max="4864" width="11.54296875" style="1"/>
    <col min="4865" max="4865" width="45.54296875" style="1" customWidth="1"/>
    <col min="4866" max="4866" width="8.81640625" style="1" bestFit="1" customWidth="1"/>
    <col min="4867" max="4867" width="13.7265625" style="1" bestFit="1" customWidth="1"/>
    <col min="4868" max="4868" width="16.81640625" style="1" customWidth="1"/>
    <col min="4869" max="4869" width="8.81640625" style="1" bestFit="1" customWidth="1"/>
    <col min="4870" max="4870" width="13.7265625" style="1" bestFit="1" customWidth="1"/>
    <col min="4871" max="4871" width="17.26953125" style="1" customWidth="1"/>
    <col min="4872" max="4872" width="15.81640625" style="1" bestFit="1" customWidth="1"/>
    <col min="4873" max="4881" width="17.7265625" style="1" customWidth="1"/>
    <col min="4882" max="4888" width="18.7265625" style="1" customWidth="1"/>
    <col min="4889" max="4897" width="17.7265625" style="1" customWidth="1"/>
    <col min="4898" max="4904" width="18.7265625" style="1" customWidth="1"/>
    <col min="4905" max="4913" width="17.7265625" style="1" customWidth="1"/>
    <col min="4914" max="4920" width="18.7265625" style="1" customWidth="1"/>
    <col min="4921" max="4929" width="17.7265625" style="1" customWidth="1"/>
    <col min="4930" max="4936" width="18.7265625" style="1" customWidth="1"/>
    <col min="4937" max="4945" width="17.54296875" style="1" customWidth="1"/>
    <col min="4946" max="4952" width="18.54296875" style="1" customWidth="1"/>
    <col min="4953" max="4961" width="17.54296875" style="1" bestFit="1" customWidth="1"/>
    <col min="4962" max="4968" width="18.54296875" style="1" bestFit="1" customWidth="1"/>
    <col min="4969" max="5120" width="11.54296875" style="1"/>
    <col min="5121" max="5121" width="45.54296875" style="1" customWidth="1"/>
    <col min="5122" max="5122" width="8.81640625" style="1" bestFit="1" customWidth="1"/>
    <col min="5123" max="5123" width="13.7265625" style="1" bestFit="1" customWidth="1"/>
    <col min="5124" max="5124" width="16.81640625" style="1" customWidth="1"/>
    <col min="5125" max="5125" width="8.81640625" style="1" bestFit="1" customWidth="1"/>
    <col min="5126" max="5126" width="13.7265625" style="1" bestFit="1" customWidth="1"/>
    <col min="5127" max="5127" width="17.26953125" style="1" customWidth="1"/>
    <col min="5128" max="5128" width="15.81640625" style="1" bestFit="1" customWidth="1"/>
    <col min="5129" max="5137" width="17.7265625" style="1" customWidth="1"/>
    <col min="5138" max="5144" width="18.7265625" style="1" customWidth="1"/>
    <col min="5145" max="5153" width="17.7265625" style="1" customWidth="1"/>
    <col min="5154" max="5160" width="18.7265625" style="1" customWidth="1"/>
    <col min="5161" max="5169" width="17.7265625" style="1" customWidth="1"/>
    <col min="5170" max="5176" width="18.7265625" style="1" customWidth="1"/>
    <col min="5177" max="5185" width="17.7265625" style="1" customWidth="1"/>
    <col min="5186" max="5192" width="18.7265625" style="1" customWidth="1"/>
    <col min="5193" max="5201" width="17.54296875" style="1" customWidth="1"/>
    <col min="5202" max="5208" width="18.54296875" style="1" customWidth="1"/>
    <col min="5209" max="5217" width="17.54296875" style="1" bestFit="1" customWidth="1"/>
    <col min="5218" max="5224" width="18.54296875" style="1" bestFit="1" customWidth="1"/>
    <col min="5225" max="5376" width="11.54296875" style="1"/>
    <col min="5377" max="5377" width="45.54296875" style="1" customWidth="1"/>
    <col min="5378" max="5378" width="8.81640625" style="1" bestFit="1" customWidth="1"/>
    <col min="5379" max="5379" width="13.7265625" style="1" bestFit="1" customWidth="1"/>
    <col min="5380" max="5380" width="16.81640625" style="1" customWidth="1"/>
    <col min="5381" max="5381" width="8.81640625" style="1" bestFit="1" customWidth="1"/>
    <col min="5382" max="5382" width="13.7265625" style="1" bestFit="1" customWidth="1"/>
    <col min="5383" max="5383" width="17.26953125" style="1" customWidth="1"/>
    <col min="5384" max="5384" width="15.81640625" style="1" bestFit="1" customWidth="1"/>
    <col min="5385" max="5393" width="17.7265625" style="1" customWidth="1"/>
    <col min="5394" max="5400" width="18.7265625" style="1" customWidth="1"/>
    <col min="5401" max="5409" width="17.7265625" style="1" customWidth="1"/>
    <col min="5410" max="5416" width="18.7265625" style="1" customWidth="1"/>
    <col min="5417" max="5425" width="17.7265625" style="1" customWidth="1"/>
    <col min="5426" max="5432" width="18.7265625" style="1" customWidth="1"/>
    <col min="5433" max="5441" width="17.7265625" style="1" customWidth="1"/>
    <col min="5442" max="5448" width="18.7265625" style="1" customWidth="1"/>
    <col min="5449" max="5457" width="17.54296875" style="1" customWidth="1"/>
    <col min="5458" max="5464" width="18.54296875" style="1" customWidth="1"/>
    <col min="5465" max="5473" width="17.54296875" style="1" bestFit="1" customWidth="1"/>
    <col min="5474" max="5480" width="18.54296875" style="1" bestFit="1" customWidth="1"/>
    <col min="5481" max="5632" width="11.54296875" style="1"/>
    <col min="5633" max="5633" width="45.54296875" style="1" customWidth="1"/>
    <col min="5634" max="5634" width="8.81640625" style="1" bestFit="1" customWidth="1"/>
    <col min="5635" max="5635" width="13.7265625" style="1" bestFit="1" customWidth="1"/>
    <col min="5636" max="5636" width="16.81640625" style="1" customWidth="1"/>
    <col min="5637" max="5637" width="8.81640625" style="1" bestFit="1" customWidth="1"/>
    <col min="5638" max="5638" width="13.7265625" style="1" bestFit="1" customWidth="1"/>
    <col min="5639" max="5639" width="17.26953125" style="1" customWidth="1"/>
    <col min="5640" max="5640" width="15.81640625" style="1" bestFit="1" customWidth="1"/>
    <col min="5641" max="5649" width="17.7265625" style="1" customWidth="1"/>
    <col min="5650" max="5656" width="18.7265625" style="1" customWidth="1"/>
    <col min="5657" max="5665" width="17.7265625" style="1" customWidth="1"/>
    <col min="5666" max="5672" width="18.7265625" style="1" customWidth="1"/>
    <col min="5673" max="5681" width="17.7265625" style="1" customWidth="1"/>
    <col min="5682" max="5688" width="18.7265625" style="1" customWidth="1"/>
    <col min="5689" max="5697" width="17.7265625" style="1" customWidth="1"/>
    <col min="5698" max="5704" width="18.7265625" style="1" customWidth="1"/>
    <col min="5705" max="5713" width="17.54296875" style="1" customWidth="1"/>
    <col min="5714" max="5720" width="18.54296875" style="1" customWidth="1"/>
    <col min="5721" max="5729" width="17.54296875" style="1" bestFit="1" customWidth="1"/>
    <col min="5730" max="5736" width="18.54296875" style="1" bestFit="1" customWidth="1"/>
    <col min="5737" max="5888" width="11.54296875" style="1"/>
    <col min="5889" max="5889" width="45.54296875" style="1" customWidth="1"/>
    <col min="5890" max="5890" width="8.81640625" style="1" bestFit="1" customWidth="1"/>
    <col min="5891" max="5891" width="13.7265625" style="1" bestFit="1" customWidth="1"/>
    <col min="5892" max="5892" width="16.81640625" style="1" customWidth="1"/>
    <col min="5893" max="5893" width="8.81640625" style="1" bestFit="1" customWidth="1"/>
    <col min="5894" max="5894" width="13.7265625" style="1" bestFit="1" customWidth="1"/>
    <col min="5895" max="5895" width="17.26953125" style="1" customWidth="1"/>
    <col min="5896" max="5896" width="15.81640625" style="1" bestFit="1" customWidth="1"/>
    <col min="5897" max="5905" width="17.7265625" style="1" customWidth="1"/>
    <col min="5906" max="5912" width="18.7265625" style="1" customWidth="1"/>
    <col min="5913" max="5921" width="17.7265625" style="1" customWidth="1"/>
    <col min="5922" max="5928" width="18.7265625" style="1" customWidth="1"/>
    <col min="5929" max="5937" width="17.7265625" style="1" customWidth="1"/>
    <col min="5938" max="5944" width="18.7265625" style="1" customWidth="1"/>
    <col min="5945" max="5953" width="17.7265625" style="1" customWidth="1"/>
    <col min="5954" max="5960" width="18.7265625" style="1" customWidth="1"/>
    <col min="5961" max="5969" width="17.54296875" style="1" customWidth="1"/>
    <col min="5970" max="5976" width="18.54296875" style="1" customWidth="1"/>
    <col min="5977" max="5985" width="17.54296875" style="1" bestFit="1" customWidth="1"/>
    <col min="5986" max="5992" width="18.54296875" style="1" bestFit="1" customWidth="1"/>
    <col min="5993" max="6144" width="11.54296875" style="1"/>
    <col min="6145" max="6145" width="45.54296875" style="1" customWidth="1"/>
    <col min="6146" max="6146" width="8.81640625" style="1" bestFit="1" customWidth="1"/>
    <col min="6147" max="6147" width="13.7265625" style="1" bestFit="1" customWidth="1"/>
    <col min="6148" max="6148" width="16.81640625" style="1" customWidth="1"/>
    <col min="6149" max="6149" width="8.81640625" style="1" bestFit="1" customWidth="1"/>
    <col min="6150" max="6150" width="13.7265625" style="1" bestFit="1" customWidth="1"/>
    <col min="6151" max="6151" width="17.26953125" style="1" customWidth="1"/>
    <col min="6152" max="6152" width="15.81640625" style="1" bestFit="1" customWidth="1"/>
    <col min="6153" max="6161" width="17.7265625" style="1" customWidth="1"/>
    <col min="6162" max="6168" width="18.7265625" style="1" customWidth="1"/>
    <col min="6169" max="6177" width="17.7265625" style="1" customWidth="1"/>
    <col min="6178" max="6184" width="18.7265625" style="1" customWidth="1"/>
    <col min="6185" max="6193" width="17.7265625" style="1" customWidth="1"/>
    <col min="6194" max="6200" width="18.7265625" style="1" customWidth="1"/>
    <col min="6201" max="6209" width="17.7265625" style="1" customWidth="1"/>
    <col min="6210" max="6216" width="18.7265625" style="1" customWidth="1"/>
    <col min="6217" max="6225" width="17.54296875" style="1" customWidth="1"/>
    <col min="6226" max="6232" width="18.54296875" style="1" customWidth="1"/>
    <col min="6233" max="6241" width="17.54296875" style="1" bestFit="1" customWidth="1"/>
    <col min="6242" max="6248" width="18.54296875" style="1" bestFit="1" customWidth="1"/>
    <col min="6249" max="6400" width="11.54296875" style="1"/>
    <col min="6401" max="6401" width="45.54296875" style="1" customWidth="1"/>
    <col min="6402" max="6402" width="8.81640625" style="1" bestFit="1" customWidth="1"/>
    <col min="6403" max="6403" width="13.7265625" style="1" bestFit="1" customWidth="1"/>
    <col min="6404" max="6404" width="16.81640625" style="1" customWidth="1"/>
    <col min="6405" max="6405" width="8.81640625" style="1" bestFit="1" customWidth="1"/>
    <col min="6406" max="6406" width="13.7265625" style="1" bestFit="1" customWidth="1"/>
    <col min="6407" max="6407" width="17.26953125" style="1" customWidth="1"/>
    <col min="6408" max="6408" width="15.81640625" style="1" bestFit="1" customWidth="1"/>
    <col min="6409" max="6417" width="17.7265625" style="1" customWidth="1"/>
    <col min="6418" max="6424" width="18.7265625" style="1" customWidth="1"/>
    <col min="6425" max="6433" width="17.7265625" style="1" customWidth="1"/>
    <col min="6434" max="6440" width="18.7265625" style="1" customWidth="1"/>
    <col min="6441" max="6449" width="17.7265625" style="1" customWidth="1"/>
    <col min="6450" max="6456" width="18.7265625" style="1" customWidth="1"/>
    <col min="6457" max="6465" width="17.7265625" style="1" customWidth="1"/>
    <col min="6466" max="6472" width="18.7265625" style="1" customWidth="1"/>
    <col min="6473" max="6481" width="17.54296875" style="1" customWidth="1"/>
    <col min="6482" max="6488" width="18.54296875" style="1" customWidth="1"/>
    <col min="6489" max="6497" width="17.54296875" style="1" bestFit="1" customWidth="1"/>
    <col min="6498" max="6504" width="18.54296875" style="1" bestFit="1" customWidth="1"/>
    <col min="6505" max="6656" width="11.54296875" style="1"/>
    <col min="6657" max="6657" width="45.54296875" style="1" customWidth="1"/>
    <col min="6658" max="6658" width="8.81640625" style="1" bestFit="1" customWidth="1"/>
    <col min="6659" max="6659" width="13.7265625" style="1" bestFit="1" customWidth="1"/>
    <col min="6660" max="6660" width="16.81640625" style="1" customWidth="1"/>
    <col min="6661" max="6661" width="8.81640625" style="1" bestFit="1" customWidth="1"/>
    <col min="6662" max="6662" width="13.7265625" style="1" bestFit="1" customWidth="1"/>
    <col min="6663" max="6663" width="17.26953125" style="1" customWidth="1"/>
    <col min="6664" max="6664" width="15.81640625" style="1" bestFit="1" customWidth="1"/>
    <col min="6665" max="6673" width="17.7265625" style="1" customWidth="1"/>
    <col min="6674" max="6680" width="18.7265625" style="1" customWidth="1"/>
    <col min="6681" max="6689" width="17.7265625" style="1" customWidth="1"/>
    <col min="6690" max="6696" width="18.7265625" style="1" customWidth="1"/>
    <col min="6697" max="6705" width="17.7265625" style="1" customWidth="1"/>
    <col min="6706" max="6712" width="18.7265625" style="1" customWidth="1"/>
    <col min="6713" max="6721" width="17.7265625" style="1" customWidth="1"/>
    <col min="6722" max="6728" width="18.7265625" style="1" customWidth="1"/>
    <col min="6729" max="6737" width="17.54296875" style="1" customWidth="1"/>
    <col min="6738" max="6744" width="18.54296875" style="1" customWidth="1"/>
    <col min="6745" max="6753" width="17.54296875" style="1" bestFit="1" customWidth="1"/>
    <col min="6754" max="6760" width="18.54296875" style="1" bestFit="1" customWidth="1"/>
    <col min="6761" max="6912" width="11.54296875" style="1"/>
    <col min="6913" max="6913" width="45.54296875" style="1" customWidth="1"/>
    <col min="6914" max="6914" width="8.81640625" style="1" bestFit="1" customWidth="1"/>
    <col min="6915" max="6915" width="13.7265625" style="1" bestFit="1" customWidth="1"/>
    <col min="6916" max="6916" width="16.81640625" style="1" customWidth="1"/>
    <col min="6917" max="6917" width="8.81640625" style="1" bestFit="1" customWidth="1"/>
    <col min="6918" max="6918" width="13.7265625" style="1" bestFit="1" customWidth="1"/>
    <col min="6919" max="6919" width="17.26953125" style="1" customWidth="1"/>
    <col min="6920" max="6920" width="15.81640625" style="1" bestFit="1" customWidth="1"/>
    <col min="6921" max="6929" width="17.7265625" style="1" customWidth="1"/>
    <col min="6930" max="6936" width="18.7265625" style="1" customWidth="1"/>
    <col min="6937" max="6945" width="17.7265625" style="1" customWidth="1"/>
    <col min="6946" max="6952" width="18.7265625" style="1" customWidth="1"/>
    <col min="6953" max="6961" width="17.7265625" style="1" customWidth="1"/>
    <col min="6962" max="6968" width="18.7265625" style="1" customWidth="1"/>
    <col min="6969" max="6977" width="17.7265625" style="1" customWidth="1"/>
    <col min="6978" max="6984" width="18.7265625" style="1" customWidth="1"/>
    <col min="6985" max="6993" width="17.54296875" style="1" customWidth="1"/>
    <col min="6994" max="7000" width="18.54296875" style="1" customWidth="1"/>
    <col min="7001" max="7009" width="17.54296875" style="1" bestFit="1" customWidth="1"/>
    <col min="7010" max="7016" width="18.54296875" style="1" bestFit="1" customWidth="1"/>
    <col min="7017" max="7168" width="11.54296875" style="1"/>
    <col min="7169" max="7169" width="45.54296875" style="1" customWidth="1"/>
    <col min="7170" max="7170" width="8.81640625" style="1" bestFit="1" customWidth="1"/>
    <col min="7171" max="7171" width="13.7265625" style="1" bestFit="1" customWidth="1"/>
    <col min="7172" max="7172" width="16.81640625" style="1" customWidth="1"/>
    <col min="7173" max="7173" width="8.81640625" style="1" bestFit="1" customWidth="1"/>
    <col min="7174" max="7174" width="13.7265625" style="1" bestFit="1" customWidth="1"/>
    <col min="7175" max="7175" width="17.26953125" style="1" customWidth="1"/>
    <col min="7176" max="7176" width="15.81640625" style="1" bestFit="1" customWidth="1"/>
    <col min="7177" max="7185" width="17.7265625" style="1" customWidth="1"/>
    <col min="7186" max="7192" width="18.7265625" style="1" customWidth="1"/>
    <col min="7193" max="7201" width="17.7265625" style="1" customWidth="1"/>
    <col min="7202" max="7208" width="18.7265625" style="1" customWidth="1"/>
    <col min="7209" max="7217" width="17.7265625" style="1" customWidth="1"/>
    <col min="7218" max="7224" width="18.7265625" style="1" customWidth="1"/>
    <col min="7225" max="7233" width="17.7265625" style="1" customWidth="1"/>
    <col min="7234" max="7240" width="18.7265625" style="1" customWidth="1"/>
    <col min="7241" max="7249" width="17.54296875" style="1" customWidth="1"/>
    <col min="7250" max="7256" width="18.54296875" style="1" customWidth="1"/>
    <col min="7257" max="7265" width="17.54296875" style="1" bestFit="1" customWidth="1"/>
    <col min="7266" max="7272" width="18.54296875" style="1" bestFit="1" customWidth="1"/>
    <col min="7273" max="7424" width="11.54296875" style="1"/>
    <col min="7425" max="7425" width="45.54296875" style="1" customWidth="1"/>
    <col min="7426" max="7426" width="8.81640625" style="1" bestFit="1" customWidth="1"/>
    <col min="7427" max="7427" width="13.7265625" style="1" bestFit="1" customWidth="1"/>
    <col min="7428" max="7428" width="16.81640625" style="1" customWidth="1"/>
    <col min="7429" max="7429" width="8.81640625" style="1" bestFit="1" customWidth="1"/>
    <col min="7430" max="7430" width="13.7265625" style="1" bestFit="1" customWidth="1"/>
    <col min="7431" max="7431" width="17.26953125" style="1" customWidth="1"/>
    <col min="7432" max="7432" width="15.81640625" style="1" bestFit="1" customWidth="1"/>
    <col min="7433" max="7441" width="17.7265625" style="1" customWidth="1"/>
    <col min="7442" max="7448" width="18.7265625" style="1" customWidth="1"/>
    <col min="7449" max="7457" width="17.7265625" style="1" customWidth="1"/>
    <col min="7458" max="7464" width="18.7265625" style="1" customWidth="1"/>
    <col min="7465" max="7473" width="17.7265625" style="1" customWidth="1"/>
    <col min="7474" max="7480" width="18.7265625" style="1" customWidth="1"/>
    <col min="7481" max="7489" width="17.7265625" style="1" customWidth="1"/>
    <col min="7490" max="7496" width="18.7265625" style="1" customWidth="1"/>
    <col min="7497" max="7505" width="17.54296875" style="1" customWidth="1"/>
    <col min="7506" max="7512" width="18.54296875" style="1" customWidth="1"/>
    <col min="7513" max="7521" width="17.54296875" style="1" bestFit="1" customWidth="1"/>
    <col min="7522" max="7528" width="18.54296875" style="1" bestFit="1" customWidth="1"/>
    <col min="7529" max="7680" width="11.54296875" style="1"/>
    <col min="7681" max="7681" width="45.54296875" style="1" customWidth="1"/>
    <col min="7682" max="7682" width="8.81640625" style="1" bestFit="1" customWidth="1"/>
    <col min="7683" max="7683" width="13.7265625" style="1" bestFit="1" customWidth="1"/>
    <col min="7684" max="7684" width="16.81640625" style="1" customWidth="1"/>
    <col min="7685" max="7685" width="8.81640625" style="1" bestFit="1" customWidth="1"/>
    <col min="7686" max="7686" width="13.7265625" style="1" bestFit="1" customWidth="1"/>
    <col min="7687" max="7687" width="17.26953125" style="1" customWidth="1"/>
    <col min="7688" max="7688" width="15.81640625" style="1" bestFit="1" customWidth="1"/>
    <col min="7689" max="7697" width="17.7265625" style="1" customWidth="1"/>
    <col min="7698" max="7704" width="18.7265625" style="1" customWidth="1"/>
    <col min="7705" max="7713" width="17.7265625" style="1" customWidth="1"/>
    <col min="7714" max="7720" width="18.7265625" style="1" customWidth="1"/>
    <col min="7721" max="7729" width="17.7265625" style="1" customWidth="1"/>
    <col min="7730" max="7736" width="18.7265625" style="1" customWidth="1"/>
    <col min="7737" max="7745" width="17.7265625" style="1" customWidth="1"/>
    <col min="7746" max="7752" width="18.7265625" style="1" customWidth="1"/>
    <col min="7753" max="7761" width="17.54296875" style="1" customWidth="1"/>
    <col min="7762" max="7768" width="18.54296875" style="1" customWidth="1"/>
    <col min="7769" max="7777" width="17.54296875" style="1" bestFit="1" customWidth="1"/>
    <col min="7778" max="7784" width="18.54296875" style="1" bestFit="1" customWidth="1"/>
    <col min="7785" max="7936" width="11.54296875" style="1"/>
    <col min="7937" max="7937" width="45.54296875" style="1" customWidth="1"/>
    <col min="7938" max="7938" width="8.81640625" style="1" bestFit="1" customWidth="1"/>
    <col min="7939" max="7939" width="13.7265625" style="1" bestFit="1" customWidth="1"/>
    <col min="7940" max="7940" width="16.81640625" style="1" customWidth="1"/>
    <col min="7941" max="7941" width="8.81640625" style="1" bestFit="1" customWidth="1"/>
    <col min="7942" max="7942" width="13.7265625" style="1" bestFit="1" customWidth="1"/>
    <col min="7943" max="7943" width="17.26953125" style="1" customWidth="1"/>
    <col min="7944" max="7944" width="15.81640625" style="1" bestFit="1" customWidth="1"/>
    <col min="7945" max="7953" width="17.7265625" style="1" customWidth="1"/>
    <col min="7954" max="7960" width="18.7265625" style="1" customWidth="1"/>
    <col min="7961" max="7969" width="17.7265625" style="1" customWidth="1"/>
    <col min="7970" max="7976" width="18.7265625" style="1" customWidth="1"/>
    <col min="7977" max="7985" width="17.7265625" style="1" customWidth="1"/>
    <col min="7986" max="7992" width="18.7265625" style="1" customWidth="1"/>
    <col min="7993" max="8001" width="17.7265625" style="1" customWidth="1"/>
    <col min="8002" max="8008" width="18.7265625" style="1" customWidth="1"/>
    <col min="8009" max="8017" width="17.54296875" style="1" customWidth="1"/>
    <col min="8018" max="8024" width="18.54296875" style="1" customWidth="1"/>
    <col min="8025" max="8033" width="17.54296875" style="1" bestFit="1" customWidth="1"/>
    <col min="8034" max="8040" width="18.54296875" style="1" bestFit="1" customWidth="1"/>
    <col min="8041" max="8192" width="11.54296875" style="1"/>
    <col min="8193" max="8193" width="45.54296875" style="1" customWidth="1"/>
    <col min="8194" max="8194" width="8.81640625" style="1" bestFit="1" customWidth="1"/>
    <col min="8195" max="8195" width="13.7265625" style="1" bestFit="1" customWidth="1"/>
    <col min="8196" max="8196" width="16.81640625" style="1" customWidth="1"/>
    <col min="8197" max="8197" width="8.81640625" style="1" bestFit="1" customWidth="1"/>
    <col min="8198" max="8198" width="13.7265625" style="1" bestFit="1" customWidth="1"/>
    <col min="8199" max="8199" width="17.26953125" style="1" customWidth="1"/>
    <col min="8200" max="8200" width="15.81640625" style="1" bestFit="1" customWidth="1"/>
    <col min="8201" max="8209" width="17.7265625" style="1" customWidth="1"/>
    <col min="8210" max="8216" width="18.7265625" style="1" customWidth="1"/>
    <col min="8217" max="8225" width="17.7265625" style="1" customWidth="1"/>
    <col min="8226" max="8232" width="18.7265625" style="1" customWidth="1"/>
    <col min="8233" max="8241" width="17.7265625" style="1" customWidth="1"/>
    <col min="8242" max="8248" width="18.7265625" style="1" customWidth="1"/>
    <col min="8249" max="8257" width="17.7265625" style="1" customWidth="1"/>
    <col min="8258" max="8264" width="18.7265625" style="1" customWidth="1"/>
    <col min="8265" max="8273" width="17.54296875" style="1" customWidth="1"/>
    <col min="8274" max="8280" width="18.54296875" style="1" customWidth="1"/>
    <col min="8281" max="8289" width="17.54296875" style="1" bestFit="1" customWidth="1"/>
    <col min="8290" max="8296" width="18.54296875" style="1" bestFit="1" customWidth="1"/>
    <col min="8297" max="8448" width="11.54296875" style="1"/>
    <col min="8449" max="8449" width="45.54296875" style="1" customWidth="1"/>
    <col min="8450" max="8450" width="8.81640625" style="1" bestFit="1" customWidth="1"/>
    <col min="8451" max="8451" width="13.7265625" style="1" bestFit="1" customWidth="1"/>
    <col min="8452" max="8452" width="16.81640625" style="1" customWidth="1"/>
    <col min="8453" max="8453" width="8.81640625" style="1" bestFit="1" customWidth="1"/>
    <col min="8454" max="8454" width="13.7265625" style="1" bestFit="1" customWidth="1"/>
    <col min="8455" max="8455" width="17.26953125" style="1" customWidth="1"/>
    <col min="8456" max="8456" width="15.81640625" style="1" bestFit="1" customWidth="1"/>
    <col min="8457" max="8465" width="17.7265625" style="1" customWidth="1"/>
    <col min="8466" max="8472" width="18.7265625" style="1" customWidth="1"/>
    <col min="8473" max="8481" width="17.7265625" style="1" customWidth="1"/>
    <col min="8482" max="8488" width="18.7265625" style="1" customWidth="1"/>
    <col min="8489" max="8497" width="17.7265625" style="1" customWidth="1"/>
    <col min="8498" max="8504" width="18.7265625" style="1" customWidth="1"/>
    <col min="8505" max="8513" width="17.7265625" style="1" customWidth="1"/>
    <col min="8514" max="8520" width="18.7265625" style="1" customWidth="1"/>
    <col min="8521" max="8529" width="17.54296875" style="1" customWidth="1"/>
    <col min="8530" max="8536" width="18.54296875" style="1" customWidth="1"/>
    <col min="8537" max="8545" width="17.54296875" style="1" bestFit="1" customWidth="1"/>
    <col min="8546" max="8552" width="18.54296875" style="1" bestFit="1" customWidth="1"/>
    <col min="8553" max="8704" width="11.54296875" style="1"/>
    <col min="8705" max="8705" width="45.54296875" style="1" customWidth="1"/>
    <col min="8706" max="8706" width="8.81640625" style="1" bestFit="1" customWidth="1"/>
    <col min="8707" max="8707" width="13.7265625" style="1" bestFit="1" customWidth="1"/>
    <col min="8708" max="8708" width="16.81640625" style="1" customWidth="1"/>
    <col min="8709" max="8709" width="8.81640625" style="1" bestFit="1" customWidth="1"/>
    <col min="8710" max="8710" width="13.7265625" style="1" bestFit="1" customWidth="1"/>
    <col min="8711" max="8711" width="17.26953125" style="1" customWidth="1"/>
    <col min="8712" max="8712" width="15.81640625" style="1" bestFit="1" customWidth="1"/>
    <col min="8713" max="8721" width="17.7265625" style="1" customWidth="1"/>
    <col min="8722" max="8728" width="18.7265625" style="1" customWidth="1"/>
    <col min="8729" max="8737" width="17.7265625" style="1" customWidth="1"/>
    <col min="8738" max="8744" width="18.7265625" style="1" customWidth="1"/>
    <col min="8745" max="8753" width="17.7265625" style="1" customWidth="1"/>
    <col min="8754" max="8760" width="18.7265625" style="1" customWidth="1"/>
    <col min="8761" max="8769" width="17.7265625" style="1" customWidth="1"/>
    <col min="8770" max="8776" width="18.7265625" style="1" customWidth="1"/>
    <col min="8777" max="8785" width="17.54296875" style="1" customWidth="1"/>
    <col min="8786" max="8792" width="18.54296875" style="1" customWidth="1"/>
    <col min="8793" max="8801" width="17.54296875" style="1" bestFit="1" customWidth="1"/>
    <col min="8802" max="8808" width="18.54296875" style="1" bestFit="1" customWidth="1"/>
    <col min="8809" max="8960" width="11.54296875" style="1"/>
    <col min="8961" max="8961" width="45.54296875" style="1" customWidth="1"/>
    <col min="8962" max="8962" width="8.81640625" style="1" bestFit="1" customWidth="1"/>
    <col min="8963" max="8963" width="13.7265625" style="1" bestFit="1" customWidth="1"/>
    <col min="8964" max="8964" width="16.81640625" style="1" customWidth="1"/>
    <col min="8965" max="8965" width="8.81640625" style="1" bestFit="1" customWidth="1"/>
    <col min="8966" max="8966" width="13.7265625" style="1" bestFit="1" customWidth="1"/>
    <col min="8967" max="8967" width="17.26953125" style="1" customWidth="1"/>
    <col min="8968" max="8968" width="15.81640625" style="1" bestFit="1" customWidth="1"/>
    <col min="8969" max="8977" width="17.7265625" style="1" customWidth="1"/>
    <col min="8978" max="8984" width="18.7265625" style="1" customWidth="1"/>
    <col min="8985" max="8993" width="17.7265625" style="1" customWidth="1"/>
    <col min="8994" max="9000" width="18.7265625" style="1" customWidth="1"/>
    <col min="9001" max="9009" width="17.7265625" style="1" customWidth="1"/>
    <col min="9010" max="9016" width="18.7265625" style="1" customWidth="1"/>
    <col min="9017" max="9025" width="17.7265625" style="1" customWidth="1"/>
    <col min="9026" max="9032" width="18.7265625" style="1" customWidth="1"/>
    <col min="9033" max="9041" width="17.54296875" style="1" customWidth="1"/>
    <col min="9042" max="9048" width="18.54296875" style="1" customWidth="1"/>
    <col min="9049" max="9057" width="17.54296875" style="1" bestFit="1" customWidth="1"/>
    <col min="9058" max="9064" width="18.54296875" style="1" bestFit="1" customWidth="1"/>
    <col min="9065" max="9216" width="11.54296875" style="1"/>
    <col min="9217" max="9217" width="45.54296875" style="1" customWidth="1"/>
    <col min="9218" max="9218" width="8.81640625" style="1" bestFit="1" customWidth="1"/>
    <col min="9219" max="9219" width="13.7265625" style="1" bestFit="1" customWidth="1"/>
    <col min="9220" max="9220" width="16.81640625" style="1" customWidth="1"/>
    <col min="9221" max="9221" width="8.81640625" style="1" bestFit="1" customWidth="1"/>
    <col min="9222" max="9222" width="13.7265625" style="1" bestFit="1" customWidth="1"/>
    <col min="9223" max="9223" width="17.26953125" style="1" customWidth="1"/>
    <col min="9224" max="9224" width="15.81640625" style="1" bestFit="1" customWidth="1"/>
    <col min="9225" max="9233" width="17.7265625" style="1" customWidth="1"/>
    <col min="9234" max="9240" width="18.7265625" style="1" customWidth="1"/>
    <col min="9241" max="9249" width="17.7265625" style="1" customWidth="1"/>
    <col min="9250" max="9256" width="18.7265625" style="1" customWidth="1"/>
    <col min="9257" max="9265" width="17.7265625" style="1" customWidth="1"/>
    <col min="9266" max="9272" width="18.7265625" style="1" customWidth="1"/>
    <col min="9273" max="9281" width="17.7265625" style="1" customWidth="1"/>
    <col min="9282" max="9288" width="18.7265625" style="1" customWidth="1"/>
    <col min="9289" max="9297" width="17.54296875" style="1" customWidth="1"/>
    <col min="9298" max="9304" width="18.54296875" style="1" customWidth="1"/>
    <col min="9305" max="9313" width="17.54296875" style="1" bestFit="1" customWidth="1"/>
    <col min="9314" max="9320" width="18.54296875" style="1" bestFit="1" customWidth="1"/>
    <col min="9321" max="9472" width="11.54296875" style="1"/>
    <col min="9473" max="9473" width="45.54296875" style="1" customWidth="1"/>
    <col min="9474" max="9474" width="8.81640625" style="1" bestFit="1" customWidth="1"/>
    <col min="9475" max="9475" width="13.7265625" style="1" bestFit="1" customWidth="1"/>
    <col min="9476" max="9476" width="16.81640625" style="1" customWidth="1"/>
    <col min="9477" max="9477" width="8.81640625" style="1" bestFit="1" customWidth="1"/>
    <col min="9478" max="9478" width="13.7265625" style="1" bestFit="1" customWidth="1"/>
    <col min="9479" max="9479" width="17.26953125" style="1" customWidth="1"/>
    <col min="9480" max="9480" width="15.81640625" style="1" bestFit="1" customWidth="1"/>
    <col min="9481" max="9489" width="17.7265625" style="1" customWidth="1"/>
    <col min="9490" max="9496" width="18.7265625" style="1" customWidth="1"/>
    <col min="9497" max="9505" width="17.7265625" style="1" customWidth="1"/>
    <col min="9506" max="9512" width="18.7265625" style="1" customWidth="1"/>
    <col min="9513" max="9521" width="17.7265625" style="1" customWidth="1"/>
    <col min="9522" max="9528" width="18.7265625" style="1" customWidth="1"/>
    <col min="9529" max="9537" width="17.7265625" style="1" customWidth="1"/>
    <col min="9538" max="9544" width="18.7265625" style="1" customWidth="1"/>
    <col min="9545" max="9553" width="17.54296875" style="1" customWidth="1"/>
    <col min="9554" max="9560" width="18.54296875" style="1" customWidth="1"/>
    <col min="9561" max="9569" width="17.54296875" style="1" bestFit="1" customWidth="1"/>
    <col min="9570" max="9576" width="18.54296875" style="1" bestFit="1" customWidth="1"/>
    <col min="9577" max="9728" width="11.54296875" style="1"/>
    <col min="9729" max="9729" width="45.54296875" style="1" customWidth="1"/>
    <col min="9730" max="9730" width="8.81640625" style="1" bestFit="1" customWidth="1"/>
    <col min="9731" max="9731" width="13.7265625" style="1" bestFit="1" customWidth="1"/>
    <col min="9732" max="9732" width="16.81640625" style="1" customWidth="1"/>
    <col min="9733" max="9733" width="8.81640625" style="1" bestFit="1" customWidth="1"/>
    <col min="9734" max="9734" width="13.7265625" style="1" bestFit="1" customWidth="1"/>
    <col min="9735" max="9735" width="17.26953125" style="1" customWidth="1"/>
    <col min="9736" max="9736" width="15.81640625" style="1" bestFit="1" customWidth="1"/>
    <col min="9737" max="9745" width="17.7265625" style="1" customWidth="1"/>
    <col min="9746" max="9752" width="18.7265625" style="1" customWidth="1"/>
    <col min="9753" max="9761" width="17.7265625" style="1" customWidth="1"/>
    <col min="9762" max="9768" width="18.7265625" style="1" customWidth="1"/>
    <col min="9769" max="9777" width="17.7265625" style="1" customWidth="1"/>
    <col min="9778" max="9784" width="18.7265625" style="1" customWidth="1"/>
    <col min="9785" max="9793" width="17.7265625" style="1" customWidth="1"/>
    <col min="9794" max="9800" width="18.7265625" style="1" customWidth="1"/>
    <col min="9801" max="9809" width="17.54296875" style="1" customWidth="1"/>
    <col min="9810" max="9816" width="18.54296875" style="1" customWidth="1"/>
    <col min="9817" max="9825" width="17.54296875" style="1" bestFit="1" customWidth="1"/>
    <col min="9826" max="9832" width="18.54296875" style="1" bestFit="1" customWidth="1"/>
    <col min="9833" max="9984" width="11.54296875" style="1"/>
    <col min="9985" max="9985" width="45.54296875" style="1" customWidth="1"/>
    <col min="9986" max="9986" width="8.81640625" style="1" bestFit="1" customWidth="1"/>
    <col min="9987" max="9987" width="13.7265625" style="1" bestFit="1" customWidth="1"/>
    <col min="9988" max="9988" width="16.81640625" style="1" customWidth="1"/>
    <col min="9989" max="9989" width="8.81640625" style="1" bestFit="1" customWidth="1"/>
    <col min="9990" max="9990" width="13.7265625" style="1" bestFit="1" customWidth="1"/>
    <col min="9991" max="9991" width="17.26953125" style="1" customWidth="1"/>
    <col min="9992" max="9992" width="15.81640625" style="1" bestFit="1" customWidth="1"/>
    <col min="9993" max="10001" width="17.7265625" style="1" customWidth="1"/>
    <col min="10002" max="10008" width="18.7265625" style="1" customWidth="1"/>
    <col min="10009" max="10017" width="17.7265625" style="1" customWidth="1"/>
    <col min="10018" max="10024" width="18.7265625" style="1" customWidth="1"/>
    <col min="10025" max="10033" width="17.7265625" style="1" customWidth="1"/>
    <col min="10034" max="10040" width="18.7265625" style="1" customWidth="1"/>
    <col min="10041" max="10049" width="17.7265625" style="1" customWidth="1"/>
    <col min="10050" max="10056" width="18.7265625" style="1" customWidth="1"/>
    <col min="10057" max="10065" width="17.54296875" style="1" customWidth="1"/>
    <col min="10066" max="10072" width="18.54296875" style="1" customWidth="1"/>
    <col min="10073" max="10081" width="17.54296875" style="1" bestFit="1" customWidth="1"/>
    <col min="10082" max="10088" width="18.54296875" style="1" bestFit="1" customWidth="1"/>
    <col min="10089" max="10240" width="11.54296875" style="1"/>
    <col min="10241" max="10241" width="45.54296875" style="1" customWidth="1"/>
    <col min="10242" max="10242" width="8.81640625" style="1" bestFit="1" customWidth="1"/>
    <col min="10243" max="10243" width="13.7265625" style="1" bestFit="1" customWidth="1"/>
    <col min="10244" max="10244" width="16.81640625" style="1" customWidth="1"/>
    <col min="10245" max="10245" width="8.81640625" style="1" bestFit="1" customWidth="1"/>
    <col min="10246" max="10246" width="13.7265625" style="1" bestFit="1" customWidth="1"/>
    <col min="10247" max="10247" width="17.26953125" style="1" customWidth="1"/>
    <col min="10248" max="10248" width="15.81640625" style="1" bestFit="1" customWidth="1"/>
    <col min="10249" max="10257" width="17.7265625" style="1" customWidth="1"/>
    <col min="10258" max="10264" width="18.7265625" style="1" customWidth="1"/>
    <col min="10265" max="10273" width="17.7265625" style="1" customWidth="1"/>
    <col min="10274" max="10280" width="18.7265625" style="1" customWidth="1"/>
    <col min="10281" max="10289" width="17.7265625" style="1" customWidth="1"/>
    <col min="10290" max="10296" width="18.7265625" style="1" customWidth="1"/>
    <col min="10297" max="10305" width="17.7265625" style="1" customWidth="1"/>
    <col min="10306" max="10312" width="18.7265625" style="1" customWidth="1"/>
    <col min="10313" max="10321" width="17.54296875" style="1" customWidth="1"/>
    <col min="10322" max="10328" width="18.54296875" style="1" customWidth="1"/>
    <col min="10329" max="10337" width="17.54296875" style="1" bestFit="1" customWidth="1"/>
    <col min="10338" max="10344" width="18.54296875" style="1" bestFit="1" customWidth="1"/>
    <col min="10345" max="10496" width="11.54296875" style="1"/>
    <col min="10497" max="10497" width="45.54296875" style="1" customWidth="1"/>
    <col min="10498" max="10498" width="8.81640625" style="1" bestFit="1" customWidth="1"/>
    <col min="10499" max="10499" width="13.7265625" style="1" bestFit="1" customWidth="1"/>
    <col min="10500" max="10500" width="16.81640625" style="1" customWidth="1"/>
    <col min="10501" max="10501" width="8.81640625" style="1" bestFit="1" customWidth="1"/>
    <col min="10502" max="10502" width="13.7265625" style="1" bestFit="1" customWidth="1"/>
    <col min="10503" max="10503" width="17.26953125" style="1" customWidth="1"/>
    <col min="10504" max="10504" width="15.81640625" style="1" bestFit="1" customWidth="1"/>
    <col min="10505" max="10513" width="17.7265625" style="1" customWidth="1"/>
    <col min="10514" max="10520" width="18.7265625" style="1" customWidth="1"/>
    <col min="10521" max="10529" width="17.7265625" style="1" customWidth="1"/>
    <col min="10530" max="10536" width="18.7265625" style="1" customWidth="1"/>
    <col min="10537" max="10545" width="17.7265625" style="1" customWidth="1"/>
    <col min="10546" max="10552" width="18.7265625" style="1" customWidth="1"/>
    <col min="10553" max="10561" width="17.7265625" style="1" customWidth="1"/>
    <col min="10562" max="10568" width="18.7265625" style="1" customWidth="1"/>
    <col min="10569" max="10577" width="17.54296875" style="1" customWidth="1"/>
    <col min="10578" max="10584" width="18.54296875" style="1" customWidth="1"/>
    <col min="10585" max="10593" width="17.54296875" style="1" bestFit="1" customWidth="1"/>
    <col min="10594" max="10600" width="18.54296875" style="1" bestFit="1" customWidth="1"/>
    <col min="10601" max="10752" width="11.54296875" style="1"/>
    <col min="10753" max="10753" width="45.54296875" style="1" customWidth="1"/>
    <col min="10754" max="10754" width="8.81640625" style="1" bestFit="1" customWidth="1"/>
    <col min="10755" max="10755" width="13.7265625" style="1" bestFit="1" customWidth="1"/>
    <col min="10756" max="10756" width="16.81640625" style="1" customWidth="1"/>
    <col min="10757" max="10757" width="8.81640625" style="1" bestFit="1" customWidth="1"/>
    <col min="10758" max="10758" width="13.7265625" style="1" bestFit="1" customWidth="1"/>
    <col min="10759" max="10759" width="17.26953125" style="1" customWidth="1"/>
    <col min="10760" max="10760" width="15.81640625" style="1" bestFit="1" customWidth="1"/>
    <col min="10761" max="10769" width="17.7265625" style="1" customWidth="1"/>
    <col min="10770" max="10776" width="18.7265625" style="1" customWidth="1"/>
    <col min="10777" max="10785" width="17.7265625" style="1" customWidth="1"/>
    <col min="10786" max="10792" width="18.7265625" style="1" customWidth="1"/>
    <col min="10793" max="10801" width="17.7265625" style="1" customWidth="1"/>
    <col min="10802" max="10808" width="18.7265625" style="1" customWidth="1"/>
    <col min="10809" max="10817" width="17.7265625" style="1" customWidth="1"/>
    <col min="10818" max="10824" width="18.7265625" style="1" customWidth="1"/>
    <col min="10825" max="10833" width="17.54296875" style="1" customWidth="1"/>
    <col min="10834" max="10840" width="18.54296875" style="1" customWidth="1"/>
    <col min="10841" max="10849" width="17.54296875" style="1" bestFit="1" customWidth="1"/>
    <col min="10850" max="10856" width="18.54296875" style="1" bestFit="1" customWidth="1"/>
    <col min="10857" max="11008" width="11.54296875" style="1"/>
    <col min="11009" max="11009" width="45.54296875" style="1" customWidth="1"/>
    <col min="11010" max="11010" width="8.81640625" style="1" bestFit="1" customWidth="1"/>
    <col min="11011" max="11011" width="13.7265625" style="1" bestFit="1" customWidth="1"/>
    <col min="11012" max="11012" width="16.81640625" style="1" customWidth="1"/>
    <col min="11013" max="11013" width="8.81640625" style="1" bestFit="1" customWidth="1"/>
    <col min="11014" max="11014" width="13.7265625" style="1" bestFit="1" customWidth="1"/>
    <col min="11015" max="11015" width="17.26953125" style="1" customWidth="1"/>
    <col min="11016" max="11016" width="15.81640625" style="1" bestFit="1" customWidth="1"/>
    <col min="11017" max="11025" width="17.7265625" style="1" customWidth="1"/>
    <col min="11026" max="11032" width="18.7265625" style="1" customWidth="1"/>
    <col min="11033" max="11041" width="17.7265625" style="1" customWidth="1"/>
    <col min="11042" max="11048" width="18.7265625" style="1" customWidth="1"/>
    <col min="11049" max="11057" width="17.7265625" style="1" customWidth="1"/>
    <col min="11058" max="11064" width="18.7265625" style="1" customWidth="1"/>
    <col min="11065" max="11073" width="17.7265625" style="1" customWidth="1"/>
    <col min="11074" max="11080" width="18.7265625" style="1" customWidth="1"/>
    <col min="11081" max="11089" width="17.54296875" style="1" customWidth="1"/>
    <col min="11090" max="11096" width="18.54296875" style="1" customWidth="1"/>
    <col min="11097" max="11105" width="17.54296875" style="1" bestFit="1" customWidth="1"/>
    <col min="11106" max="11112" width="18.54296875" style="1" bestFit="1" customWidth="1"/>
    <col min="11113" max="11264" width="11.54296875" style="1"/>
    <col min="11265" max="11265" width="45.54296875" style="1" customWidth="1"/>
    <col min="11266" max="11266" width="8.81640625" style="1" bestFit="1" customWidth="1"/>
    <col min="11267" max="11267" width="13.7265625" style="1" bestFit="1" customWidth="1"/>
    <col min="11268" max="11268" width="16.81640625" style="1" customWidth="1"/>
    <col min="11269" max="11269" width="8.81640625" style="1" bestFit="1" customWidth="1"/>
    <col min="11270" max="11270" width="13.7265625" style="1" bestFit="1" customWidth="1"/>
    <col min="11271" max="11271" width="17.26953125" style="1" customWidth="1"/>
    <col min="11272" max="11272" width="15.81640625" style="1" bestFit="1" customWidth="1"/>
    <col min="11273" max="11281" width="17.7265625" style="1" customWidth="1"/>
    <col min="11282" max="11288" width="18.7265625" style="1" customWidth="1"/>
    <col min="11289" max="11297" width="17.7265625" style="1" customWidth="1"/>
    <col min="11298" max="11304" width="18.7265625" style="1" customWidth="1"/>
    <col min="11305" max="11313" width="17.7265625" style="1" customWidth="1"/>
    <col min="11314" max="11320" width="18.7265625" style="1" customWidth="1"/>
    <col min="11321" max="11329" width="17.7265625" style="1" customWidth="1"/>
    <col min="11330" max="11336" width="18.7265625" style="1" customWidth="1"/>
    <col min="11337" max="11345" width="17.54296875" style="1" customWidth="1"/>
    <col min="11346" max="11352" width="18.54296875" style="1" customWidth="1"/>
    <col min="11353" max="11361" width="17.54296875" style="1" bestFit="1" customWidth="1"/>
    <col min="11362" max="11368" width="18.54296875" style="1" bestFit="1" customWidth="1"/>
    <col min="11369" max="11520" width="11.54296875" style="1"/>
    <col min="11521" max="11521" width="45.54296875" style="1" customWidth="1"/>
    <col min="11522" max="11522" width="8.81640625" style="1" bestFit="1" customWidth="1"/>
    <col min="11523" max="11523" width="13.7265625" style="1" bestFit="1" customWidth="1"/>
    <col min="11524" max="11524" width="16.81640625" style="1" customWidth="1"/>
    <col min="11525" max="11525" width="8.81640625" style="1" bestFit="1" customWidth="1"/>
    <col min="11526" max="11526" width="13.7265625" style="1" bestFit="1" customWidth="1"/>
    <col min="11527" max="11527" width="17.26953125" style="1" customWidth="1"/>
    <col min="11528" max="11528" width="15.81640625" style="1" bestFit="1" customWidth="1"/>
    <col min="11529" max="11537" width="17.7265625" style="1" customWidth="1"/>
    <col min="11538" max="11544" width="18.7265625" style="1" customWidth="1"/>
    <col min="11545" max="11553" width="17.7265625" style="1" customWidth="1"/>
    <col min="11554" max="11560" width="18.7265625" style="1" customWidth="1"/>
    <col min="11561" max="11569" width="17.7265625" style="1" customWidth="1"/>
    <col min="11570" max="11576" width="18.7265625" style="1" customWidth="1"/>
    <col min="11577" max="11585" width="17.7265625" style="1" customWidth="1"/>
    <col min="11586" max="11592" width="18.7265625" style="1" customWidth="1"/>
    <col min="11593" max="11601" width="17.54296875" style="1" customWidth="1"/>
    <col min="11602" max="11608" width="18.54296875" style="1" customWidth="1"/>
    <col min="11609" max="11617" width="17.54296875" style="1" bestFit="1" customWidth="1"/>
    <col min="11618" max="11624" width="18.54296875" style="1" bestFit="1" customWidth="1"/>
    <col min="11625" max="11776" width="11.54296875" style="1"/>
    <col min="11777" max="11777" width="45.54296875" style="1" customWidth="1"/>
    <col min="11778" max="11778" width="8.81640625" style="1" bestFit="1" customWidth="1"/>
    <col min="11779" max="11779" width="13.7265625" style="1" bestFit="1" customWidth="1"/>
    <col min="11780" max="11780" width="16.81640625" style="1" customWidth="1"/>
    <col min="11781" max="11781" width="8.81640625" style="1" bestFit="1" customWidth="1"/>
    <col min="11782" max="11782" width="13.7265625" style="1" bestFit="1" customWidth="1"/>
    <col min="11783" max="11783" width="17.26953125" style="1" customWidth="1"/>
    <col min="11784" max="11784" width="15.81640625" style="1" bestFit="1" customWidth="1"/>
    <col min="11785" max="11793" width="17.7265625" style="1" customWidth="1"/>
    <col min="11794" max="11800" width="18.7265625" style="1" customWidth="1"/>
    <col min="11801" max="11809" width="17.7265625" style="1" customWidth="1"/>
    <col min="11810" max="11816" width="18.7265625" style="1" customWidth="1"/>
    <col min="11817" max="11825" width="17.7265625" style="1" customWidth="1"/>
    <col min="11826" max="11832" width="18.7265625" style="1" customWidth="1"/>
    <col min="11833" max="11841" width="17.7265625" style="1" customWidth="1"/>
    <col min="11842" max="11848" width="18.7265625" style="1" customWidth="1"/>
    <col min="11849" max="11857" width="17.54296875" style="1" customWidth="1"/>
    <col min="11858" max="11864" width="18.54296875" style="1" customWidth="1"/>
    <col min="11865" max="11873" width="17.54296875" style="1" bestFit="1" customWidth="1"/>
    <col min="11874" max="11880" width="18.54296875" style="1" bestFit="1" customWidth="1"/>
    <col min="11881" max="12032" width="11.54296875" style="1"/>
    <col min="12033" max="12033" width="45.54296875" style="1" customWidth="1"/>
    <col min="12034" max="12034" width="8.81640625" style="1" bestFit="1" customWidth="1"/>
    <col min="12035" max="12035" width="13.7265625" style="1" bestFit="1" customWidth="1"/>
    <col min="12036" max="12036" width="16.81640625" style="1" customWidth="1"/>
    <col min="12037" max="12037" width="8.81640625" style="1" bestFit="1" customWidth="1"/>
    <col min="12038" max="12038" width="13.7265625" style="1" bestFit="1" customWidth="1"/>
    <col min="12039" max="12039" width="17.26953125" style="1" customWidth="1"/>
    <col min="12040" max="12040" width="15.81640625" style="1" bestFit="1" customWidth="1"/>
    <col min="12041" max="12049" width="17.7265625" style="1" customWidth="1"/>
    <col min="12050" max="12056" width="18.7265625" style="1" customWidth="1"/>
    <col min="12057" max="12065" width="17.7265625" style="1" customWidth="1"/>
    <col min="12066" max="12072" width="18.7265625" style="1" customWidth="1"/>
    <col min="12073" max="12081" width="17.7265625" style="1" customWidth="1"/>
    <col min="12082" max="12088" width="18.7265625" style="1" customWidth="1"/>
    <col min="12089" max="12097" width="17.7265625" style="1" customWidth="1"/>
    <col min="12098" max="12104" width="18.7265625" style="1" customWidth="1"/>
    <col min="12105" max="12113" width="17.54296875" style="1" customWidth="1"/>
    <col min="12114" max="12120" width="18.54296875" style="1" customWidth="1"/>
    <col min="12121" max="12129" width="17.54296875" style="1" bestFit="1" customWidth="1"/>
    <col min="12130" max="12136" width="18.54296875" style="1" bestFit="1" customWidth="1"/>
    <col min="12137" max="12288" width="11.54296875" style="1"/>
    <col min="12289" max="12289" width="45.54296875" style="1" customWidth="1"/>
    <col min="12290" max="12290" width="8.81640625" style="1" bestFit="1" customWidth="1"/>
    <col min="12291" max="12291" width="13.7265625" style="1" bestFit="1" customWidth="1"/>
    <col min="12292" max="12292" width="16.81640625" style="1" customWidth="1"/>
    <col min="12293" max="12293" width="8.81640625" style="1" bestFit="1" customWidth="1"/>
    <col min="12294" max="12294" width="13.7265625" style="1" bestFit="1" customWidth="1"/>
    <col min="12295" max="12295" width="17.26953125" style="1" customWidth="1"/>
    <col min="12296" max="12296" width="15.81640625" style="1" bestFit="1" customWidth="1"/>
    <col min="12297" max="12305" width="17.7265625" style="1" customWidth="1"/>
    <col min="12306" max="12312" width="18.7265625" style="1" customWidth="1"/>
    <col min="12313" max="12321" width="17.7265625" style="1" customWidth="1"/>
    <col min="12322" max="12328" width="18.7265625" style="1" customWidth="1"/>
    <col min="12329" max="12337" width="17.7265625" style="1" customWidth="1"/>
    <col min="12338" max="12344" width="18.7265625" style="1" customWidth="1"/>
    <col min="12345" max="12353" width="17.7265625" style="1" customWidth="1"/>
    <col min="12354" max="12360" width="18.7265625" style="1" customWidth="1"/>
    <col min="12361" max="12369" width="17.54296875" style="1" customWidth="1"/>
    <col min="12370" max="12376" width="18.54296875" style="1" customWidth="1"/>
    <col min="12377" max="12385" width="17.54296875" style="1" bestFit="1" customWidth="1"/>
    <col min="12386" max="12392" width="18.54296875" style="1" bestFit="1" customWidth="1"/>
    <col min="12393" max="12544" width="11.54296875" style="1"/>
    <col min="12545" max="12545" width="45.54296875" style="1" customWidth="1"/>
    <col min="12546" max="12546" width="8.81640625" style="1" bestFit="1" customWidth="1"/>
    <col min="12547" max="12547" width="13.7265625" style="1" bestFit="1" customWidth="1"/>
    <col min="12548" max="12548" width="16.81640625" style="1" customWidth="1"/>
    <col min="12549" max="12549" width="8.81640625" style="1" bestFit="1" customWidth="1"/>
    <col min="12550" max="12550" width="13.7265625" style="1" bestFit="1" customWidth="1"/>
    <col min="12551" max="12551" width="17.26953125" style="1" customWidth="1"/>
    <col min="12552" max="12552" width="15.81640625" style="1" bestFit="1" customWidth="1"/>
    <col min="12553" max="12561" width="17.7265625" style="1" customWidth="1"/>
    <col min="12562" max="12568" width="18.7265625" style="1" customWidth="1"/>
    <col min="12569" max="12577" width="17.7265625" style="1" customWidth="1"/>
    <col min="12578" max="12584" width="18.7265625" style="1" customWidth="1"/>
    <col min="12585" max="12593" width="17.7265625" style="1" customWidth="1"/>
    <col min="12594" max="12600" width="18.7265625" style="1" customWidth="1"/>
    <col min="12601" max="12609" width="17.7265625" style="1" customWidth="1"/>
    <col min="12610" max="12616" width="18.7265625" style="1" customWidth="1"/>
    <col min="12617" max="12625" width="17.54296875" style="1" customWidth="1"/>
    <col min="12626" max="12632" width="18.54296875" style="1" customWidth="1"/>
    <col min="12633" max="12641" width="17.54296875" style="1" bestFit="1" customWidth="1"/>
    <col min="12642" max="12648" width="18.54296875" style="1" bestFit="1" customWidth="1"/>
    <col min="12649" max="12800" width="11.54296875" style="1"/>
    <col min="12801" max="12801" width="45.54296875" style="1" customWidth="1"/>
    <col min="12802" max="12802" width="8.81640625" style="1" bestFit="1" customWidth="1"/>
    <col min="12803" max="12803" width="13.7265625" style="1" bestFit="1" customWidth="1"/>
    <col min="12804" max="12804" width="16.81640625" style="1" customWidth="1"/>
    <col min="12805" max="12805" width="8.81640625" style="1" bestFit="1" customWidth="1"/>
    <col min="12806" max="12806" width="13.7265625" style="1" bestFit="1" customWidth="1"/>
    <col min="12807" max="12807" width="17.26953125" style="1" customWidth="1"/>
    <col min="12808" max="12808" width="15.81640625" style="1" bestFit="1" customWidth="1"/>
    <col min="12809" max="12817" width="17.7265625" style="1" customWidth="1"/>
    <col min="12818" max="12824" width="18.7265625" style="1" customWidth="1"/>
    <col min="12825" max="12833" width="17.7265625" style="1" customWidth="1"/>
    <col min="12834" max="12840" width="18.7265625" style="1" customWidth="1"/>
    <col min="12841" max="12849" width="17.7265625" style="1" customWidth="1"/>
    <col min="12850" max="12856" width="18.7265625" style="1" customWidth="1"/>
    <col min="12857" max="12865" width="17.7265625" style="1" customWidth="1"/>
    <col min="12866" max="12872" width="18.7265625" style="1" customWidth="1"/>
    <col min="12873" max="12881" width="17.54296875" style="1" customWidth="1"/>
    <col min="12882" max="12888" width="18.54296875" style="1" customWidth="1"/>
    <col min="12889" max="12897" width="17.54296875" style="1" bestFit="1" customWidth="1"/>
    <col min="12898" max="12904" width="18.54296875" style="1" bestFit="1" customWidth="1"/>
    <col min="12905" max="13056" width="11.54296875" style="1"/>
    <col min="13057" max="13057" width="45.54296875" style="1" customWidth="1"/>
    <col min="13058" max="13058" width="8.81640625" style="1" bestFit="1" customWidth="1"/>
    <col min="13059" max="13059" width="13.7265625" style="1" bestFit="1" customWidth="1"/>
    <col min="13060" max="13060" width="16.81640625" style="1" customWidth="1"/>
    <col min="13061" max="13061" width="8.81640625" style="1" bestFit="1" customWidth="1"/>
    <col min="13062" max="13062" width="13.7265625" style="1" bestFit="1" customWidth="1"/>
    <col min="13063" max="13063" width="17.26953125" style="1" customWidth="1"/>
    <col min="13064" max="13064" width="15.81640625" style="1" bestFit="1" customWidth="1"/>
    <col min="13065" max="13073" width="17.7265625" style="1" customWidth="1"/>
    <col min="13074" max="13080" width="18.7265625" style="1" customWidth="1"/>
    <col min="13081" max="13089" width="17.7265625" style="1" customWidth="1"/>
    <col min="13090" max="13096" width="18.7265625" style="1" customWidth="1"/>
    <col min="13097" max="13105" width="17.7265625" style="1" customWidth="1"/>
    <col min="13106" max="13112" width="18.7265625" style="1" customWidth="1"/>
    <col min="13113" max="13121" width="17.7265625" style="1" customWidth="1"/>
    <col min="13122" max="13128" width="18.7265625" style="1" customWidth="1"/>
    <col min="13129" max="13137" width="17.54296875" style="1" customWidth="1"/>
    <col min="13138" max="13144" width="18.54296875" style="1" customWidth="1"/>
    <col min="13145" max="13153" width="17.54296875" style="1" bestFit="1" customWidth="1"/>
    <col min="13154" max="13160" width="18.54296875" style="1" bestFit="1" customWidth="1"/>
    <col min="13161" max="13312" width="11.54296875" style="1"/>
    <col min="13313" max="13313" width="45.54296875" style="1" customWidth="1"/>
    <col min="13314" max="13314" width="8.81640625" style="1" bestFit="1" customWidth="1"/>
    <col min="13315" max="13315" width="13.7265625" style="1" bestFit="1" customWidth="1"/>
    <col min="13316" max="13316" width="16.81640625" style="1" customWidth="1"/>
    <col min="13317" max="13317" width="8.81640625" style="1" bestFit="1" customWidth="1"/>
    <col min="13318" max="13318" width="13.7265625" style="1" bestFit="1" customWidth="1"/>
    <col min="13319" max="13319" width="17.26953125" style="1" customWidth="1"/>
    <col min="13320" max="13320" width="15.81640625" style="1" bestFit="1" customWidth="1"/>
    <col min="13321" max="13329" width="17.7265625" style="1" customWidth="1"/>
    <col min="13330" max="13336" width="18.7265625" style="1" customWidth="1"/>
    <col min="13337" max="13345" width="17.7265625" style="1" customWidth="1"/>
    <col min="13346" max="13352" width="18.7265625" style="1" customWidth="1"/>
    <col min="13353" max="13361" width="17.7265625" style="1" customWidth="1"/>
    <col min="13362" max="13368" width="18.7265625" style="1" customWidth="1"/>
    <col min="13369" max="13377" width="17.7265625" style="1" customWidth="1"/>
    <col min="13378" max="13384" width="18.7265625" style="1" customWidth="1"/>
    <col min="13385" max="13393" width="17.54296875" style="1" customWidth="1"/>
    <col min="13394" max="13400" width="18.54296875" style="1" customWidth="1"/>
    <col min="13401" max="13409" width="17.54296875" style="1" bestFit="1" customWidth="1"/>
    <col min="13410" max="13416" width="18.54296875" style="1" bestFit="1" customWidth="1"/>
    <col min="13417" max="13568" width="11.54296875" style="1"/>
    <col min="13569" max="13569" width="45.54296875" style="1" customWidth="1"/>
    <col min="13570" max="13570" width="8.81640625" style="1" bestFit="1" customWidth="1"/>
    <col min="13571" max="13571" width="13.7265625" style="1" bestFit="1" customWidth="1"/>
    <col min="13572" max="13572" width="16.81640625" style="1" customWidth="1"/>
    <col min="13573" max="13573" width="8.81640625" style="1" bestFit="1" customWidth="1"/>
    <col min="13574" max="13574" width="13.7265625" style="1" bestFit="1" customWidth="1"/>
    <col min="13575" max="13575" width="17.26953125" style="1" customWidth="1"/>
    <col min="13576" max="13576" width="15.81640625" style="1" bestFit="1" customWidth="1"/>
    <col min="13577" max="13585" width="17.7265625" style="1" customWidth="1"/>
    <col min="13586" max="13592" width="18.7265625" style="1" customWidth="1"/>
    <col min="13593" max="13601" width="17.7265625" style="1" customWidth="1"/>
    <col min="13602" max="13608" width="18.7265625" style="1" customWidth="1"/>
    <col min="13609" max="13617" width="17.7265625" style="1" customWidth="1"/>
    <col min="13618" max="13624" width="18.7265625" style="1" customWidth="1"/>
    <col min="13625" max="13633" width="17.7265625" style="1" customWidth="1"/>
    <col min="13634" max="13640" width="18.7265625" style="1" customWidth="1"/>
    <col min="13641" max="13649" width="17.54296875" style="1" customWidth="1"/>
    <col min="13650" max="13656" width="18.54296875" style="1" customWidth="1"/>
    <col min="13657" max="13665" width="17.54296875" style="1" bestFit="1" customWidth="1"/>
    <col min="13666" max="13672" width="18.54296875" style="1" bestFit="1" customWidth="1"/>
    <col min="13673" max="13824" width="11.54296875" style="1"/>
    <col min="13825" max="13825" width="45.54296875" style="1" customWidth="1"/>
    <col min="13826" max="13826" width="8.81640625" style="1" bestFit="1" customWidth="1"/>
    <col min="13827" max="13827" width="13.7265625" style="1" bestFit="1" customWidth="1"/>
    <col min="13828" max="13828" width="16.81640625" style="1" customWidth="1"/>
    <col min="13829" max="13829" width="8.81640625" style="1" bestFit="1" customWidth="1"/>
    <col min="13830" max="13830" width="13.7265625" style="1" bestFit="1" customWidth="1"/>
    <col min="13831" max="13831" width="17.26953125" style="1" customWidth="1"/>
    <col min="13832" max="13832" width="15.81640625" style="1" bestFit="1" customWidth="1"/>
    <col min="13833" max="13841" width="17.7265625" style="1" customWidth="1"/>
    <col min="13842" max="13848" width="18.7265625" style="1" customWidth="1"/>
    <col min="13849" max="13857" width="17.7265625" style="1" customWidth="1"/>
    <col min="13858" max="13864" width="18.7265625" style="1" customWidth="1"/>
    <col min="13865" max="13873" width="17.7265625" style="1" customWidth="1"/>
    <col min="13874" max="13880" width="18.7265625" style="1" customWidth="1"/>
    <col min="13881" max="13889" width="17.7265625" style="1" customWidth="1"/>
    <col min="13890" max="13896" width="18.7265625" style="1" customWidth="1"/>
    <col min="13897" max="13905" width="17.54296875" style="1" customWidth="1"/>
    <col min="13906" max="13912" width="18.54296875" style="1" customWidth="1"/>
    <col min="13913" max="13921" width="17.54296875" style="1" bestFit="1" customWidth="1"/>
    <col min="13922" max="13928" width="18.54296875" style="1" bestFit="1" customWidth="1"/>
    <col min="13929" max="14080" width="11.54296875" style="1"/>
    <col min="14081" max="14081" width="45.54296875" style="1" customWidth="1"/>
    <col min="14082" max="14082" width="8.81640625" style="1" bestFit="1" customWidth="1"/>
    <col min="14083" max="14083" width="13.7265625" style="1" bestFit="1" customWidth="1"/>
    <col min="14084" max="14084" width="16.81640625" style="1" customWidth="1"/>
    <col min="14085" max="14085" width="8.81640625" style="1" bestFit="1" customWidth="1"/>
    <col min="14086" max="14086" width="13.7265625" style="1" bestFit="1" customWidth="1"/>
    <col min="14087" max="14087" width="17.26953125" style="1" customWidth="1"/>
    <col min="14088" max="14088" width="15.81640625" style="1" bestFit="1" customWidth="1"/>
    <col min="14089" max="14097" width="17.7265625" style="1" customWidth="1"/>
    <col min="14098" max="14104" width="18.7265625" style="1" customWidth="1"/>
    <col min="14105" max="14113" width="17.7265625" style="1" customWidth="1"/>
    <col min="14114" max="14120" width="18.7265625" style="1" customWidth="1"/>
    <col min="14121" max="14129" width="17.7265625" style="1" customWidth="1"/>
    <col min="14130" max="14136" width="18.7265625" style="1" customWidth="1"/>
    <col min="14137" max="14145" width="17.7265625" style="1" customWidth="1"/>
    <col min="14146" max="14152" width="18.7265625" style="1" customWidth="1"/>
    <col min="14153" max="14161" width="17.54296875" style="1" customWidth="1"/>
    <col min="14162" max="14168" width="18.54296875" style="1" customWidth="1"/>
    <col min="14169" max="14177" width="17.54296875" style="1" bestFit="1" customWidth="1"/>
    <col min="14178" max="14184" width="18.54296875" style="1" bestFit="1" customWidth="1"/>
    <col min="14185" max="14336" width="11.54296875" style="1"/>
    <col min="14337" max="14337" width="45.54296875" style="1" customWidth="1"/>
    <col min="14338" max="14338" width="8.81640625" style="1" bestFit="1" customWidth="1"/>
    <col min="14339" max="14339" width="13.7265625" style="1" bestFit="1" customWidth="1"/>
    <col min="14340" max="14340" width="16.81640625" style="1" customWidth="1"/>
    <col min="14341" max="14341" width="8.81640625" style="1" bestFit="1" customWidth="1"/>
    <col min="14342" max="14342" width="13.7265625" style="1" bestFit="1" customWidth="1"/>
    <col min="14343" max="14343" width="17.26953125" style="1" customWidth="1"/>
    <col min="14344" max="14344" width="15.81640625" style="1" bestFit="1" customWidth="1"/>
    <col min="14345" max="14353" width="17.7265625" style="1" customWidth="1"/>
    <col min="14354" max="14360" width="18.7265625" style="1" customWidth="1"/>
    <col min="14361" max="14369" width="17.7265625" style="1" customWidth="1"/>
    <col min="14370" max="14376" width="18.7265625" style="1" customWidth="1"/>
    <col min="14377" max="14385" width="17.7265625" style="1" customWidth="1"/>
    <col min="14386" max="14392" width="18.7265625" style="1" customWidth="1"/>
    <col min="14393" max="14401" width="17.7265625" style="1" customWidth="1"/>
    <col min="14402" max="14408" width="18.7265625" style="1" customWidth="1"/>
    <col min="14409" max="14417" width="17.54296875" style="1" customWidth="1"/>
    <col min="14418" max="14424" width="18.54296875" style="1" customWidth="1"/>
    <col min="14425" max="14433" width="17.54296875" style="1" bestFit="1" customWidth="1"/>
    <col min="14434" max="14440" width="18.54296875" style="1" bestFit="1" customWidth="1"/>
    <col min="14441" max="14592" width="11.54296875" style="1"/>
    <col min="14593" max="14593" width="45.54296875" style="1" customWidth="1"/>
    <col min="14594" max="14594" width="8.81640625" style="1" bestFit="1" customWidth="1"/>
    <col min="14595" max="14595" width="13.7265625" style="1" bestFit="1" customWidth="1"/>
    <col min="14596" max="14596" width="16.81640625" style="1" customWidth="1"/>
    <col min="14597" max="14597" width="8.81640625" style="1" bestFit="1" customWidth="1"/>
    <col min="14598" max="14598" width="13.7265625" style="1" bestFit="1" customWidth="1"/>
    <col min="14599" max="14599" width="17.26953125" style="1" customWidth="1"/>
    <col min="14600" max="14600" width="15.81640625" style="1" bestFit="1" customWidth="1"/>
    <col min="14601" max="14609" width="17.7265625" style="1" customWidth="1"/>
    <col min="14610" max="14616" width="18.7265625" style="1" customWidth="1"/>
    <col min="14617" max="14625" width="17.7265625" style="1" customWidth="1"/>
    <col min="14626" max="14632" width="18.7265625" style="1" customWidth="1"/>
    <col min="14633" max="14641" width="17.7265625" style="1" customWidth="1"/>
    <col min="14642" max="14648" width="18.7265625" style="1" customWidth="1"/>
    <col min="14649" max="14657" width="17.7265625" style="1" customWidth="1"/>
    <col min="14658" max="14664" width="18.7265625" style="1" customWidth="1"/>
    <col min="14665" max="14673" width="17.54296875" style="1" customWidth="1"/>
    <col min="14674" max="14680" width="18.54296875" style="1" customWidth="1"/>
    <col min="14681" max="14689" width="17.54296875" style="1" bestFit="1" customWidth="1"/>
    <col min="14690" max="14696" width="18.54296875" style="1" bestFit="1" customWidth="1"/>
    <col min="14697" max="14848" width="11.54296875" style="1"/>
    <col min="14849" max="14849" width="45.54296875" style="1" customWidth="1"/>
    <col min="14850" max="14850" width="8.81640625" style="1" bestFit="1" customWidth="1"/>
    <col min="14851" max="14851" width="13.7265625" style="1" bestFit="1" customWidth="1"/>
    <col min="14852" max="14852" width="16.81640625" style="1" customWidth="1"/>
    <col min="14853" max="14853" width="8.81640625" style="1" bestFit="1" customWidth="1"/>
    <col min="14854" max="14854" width="13.7265625" style="1" bestFit="1" customWidth="1"/>
    <col min="14855" max="14855" width="17.26953125" style="1" customWidth="1"/>
    <col min="14856" max="14856" width="15.81640625" style="1" bestFit="1" customWidth="1"/>
    <col min="14857" max="14865" width="17.7265625" style="1" customWidth="1"/>
    <col min="14866" max="14872" width="18.7265625" style="1" customWidth="1"/>
    <col min="14873" max="14881" width="17.7265625" style="1" customWidth="1"/>
    <col min="14882" max="14888" width="18.7265625" style="1" customWidth="1"/>
    <col min="14889" max="14897" width="17.7265625" style="1" customWidth="1"/>
    <col min="14898" max="14904" width="18.7265625" style="1" customWidth="1"/>
    <col min="14905" max="14913" width="17.7265625" style="1" customWidth="1"/>
    <col min="14914" max="14920" width="18.7265625" style="1" customWidth="1"/>
    <col min="14921" max="14929" width="17.54296875" style="1" customWidth="1"/>
    <col min="14930" max="14936" width="18.54296875" style="1" customWidth="1"/>
    <col min="14937" max="14945" width="17.54296875" style="1" bestFit="1" customWidth="1"/>
    <col min="14946" max="14952" width="18.54296875" style="1" bestFit="1" customWidth="1"/>
    <col min="14953" max="15104" width="11.54296875" style="1"/>
    <col min="15105" max="15105" width="45.54296875" style="1" customWidth="1"/>
    <col min="15106" max="15106" width="8.81640625" style="1" bestFit="1" customWidth="1"/>
    <col min="15107" max="15107" width="13.7265625" style="1" bestFit="1" customWidth="1"/>
    <col min="15108" max="15108" width="16.81640625" style="1" customWidth="1"/>
    <col min="15109" max="15109" width="8.81640625" style="1" bestFit="1" customWidth="1"/>
    <col min="15110" max="15110" width="13.7265625" style="1" bestFit="1" customWidth="1"/>
    <col min="15111" max="15111" width="17.26953125" style="1" customWidth="1"/>
    <col min="15112" max="15112" width="15.81640625" style="1" bestFit="1" customWidth="1"/>
    <col min="15113" max="15121" width="17.7265625" style="1" customWidth="1"/>
    <col min="15122" max="15128" width="18.7265625" style="1" customWidth="1"/>
    <col min="15129" max="15137" width="17.7265625" style="1" customWidth="1"/>
    <col min="15138" max="15144" width="18.7265625" style="1" customWidth="1"/>
    <col min="15145" max="15153" width="17.7265625" style="1" customWidth="1"/>
    <col min="15154" max="15160" width="18.7265625" style="1" customWidth="1"/>
    <col min="15161" max="15169" width="17.7265625" style="1" customWidth="1"/>
    <col min="15170" max="15176" width="18.7265625" style="1" customWidth="1"/>
    <col min="15177" max="15185" width="17.54296875" style="1" customWidth="1"/>
    <col min="15186" max="15192" width="18.54296875" style="1" customWidth="1"/>
    <col min="15193" max="15201" width="17.54296875" style="1" bestFit="1" customWidth="1"/>
    <col min="15202" max="15208" width="18.54296875" style="1" bestFit="1" customWidth="1"/>
    <col min="15209" max="15360" width="11.54296875" style="1"/>
    <col min="15361" max="15361" width="45.54296875" style="1" customWidth="1"/>
    <col min="15362" max="15362" width="8.81640625" style="1" bestFit="1" customWidth="1"/>
    <col min="15363" max="15363" width="13.7265625" style="1" bestFit="1" customWidth="1"/>
    <col min="15364" max="15364" width="16.81640625" style="1" customWidth="1"/>
    <col min="15365" max="15365" width="8.81640625" style="1" bestFit="1" customWidth="1"/>
    <col min="15366" max="15366" width="13.7265625" style="1" bestFit="1" customWidth="1"/>
    <col min="15367" max="15367" width="17.26953125" style="1" customWidth="1"/>
    <col min="15368" max="15368" width="15.81640625" style="1" bestFit="1" customWidth="1"/>
    <col min="15369" max="15377" width="17.7265625" style="1" customWidth="1"/>
    <col min="15378" max="15384" width="18.7265625" style="1" customWidth="1"/>
    <col min="15385" max="15393" width="17.7265625" style="1" customWidth="1"/>
    <col min="15394" max="15400" width="18.7265625" style="1" customWidth="1"/>
    <col min="15401" max="15409" width="17.7265625" style="1" customWidth="1"/>
    <col min="15410" max="15416" width="18.7265625" style="1" customWidth="1"/>
    <col min="15417" max="15425" width="17.7265625" style="1" customWidth="1"/>
    <col min="15426" max="15432" width="18.7265625" style="1" customWidth="1"/>
    <col min="15433" max="15441" width="17.54296875" style="1" customWidth="1"/>
    <col min="15442" max="15448" width="18.54296875" style="1" customWidth="1"/>
    <col min="15449" max="15457" width="17.54296875" style="1" bestFit="1" customWidth="1"/>
    <col min="15458" max="15464" width="18.54296875" style="1" bestFit="1" customWidth="1"/>
    <col min="15465" max="15616" width="11.54296875" style="1"/>
    <col min="15617" max="15617" width="45.54296875" style="1" customWidth="1"/>
    <col min="15618" max="15618" width="8.81640625" style="1" bestFit="1" customWidth="1"/>
    <col min="15619" max="15619" width="13.7265625" style="1" bestFit="1" customWidth="1"/>
    <col min="15620" max="15620" width="16.81640625" style="1" customWidth="1"/>
    <col min="15621" max="15621" width="8.81640625" style="1" bestFit="1" customWidth="1"/>
    <col min="15622" max="15622" width="13.7265625" style="1" bestFit="1" customWidth="1"/>
    <col min="15623" max="15623" width="17.26953125" style="1" customWidth="1"/>
    <col min="15624" max="15624" width="15.81640625" style="1" bestFit="1" customWidth="1"/>
    <col min="15625" max="15633" width="17.7265625" style="1" customWidth="1"/>
    <col min="15634" max="15640" width="18.7265625" style="1" customWidth="1"/>
    <col min="15641" max="15649" width="17.7265625" style="1" customWidth="1"/>
    <col min="15650" max="15656" width="18.7265625" style="1" customWidth="1"/>
    <col min="15657" max="15665" width="17.7265625" style="1" customWidth="1"/>
    <col min="15666" max="15672" width="18.7265625" style="1" customWidth="1"/>
    <col min="15673" max="15681" width="17.7265625" style="1" customWidth="1"/>
    <col min="15682" max="15688" width="18.7265625" style="1" customWidth="1"/>
    <col min="15689" max="15697" width="17.54296875" style="1" customWidth="1"/>
    <col min="15698" max="15704" width="18.54296875" style="1" customWidth="1"/>
    <col min="15705" max="15713" width="17.54296875" style="1" bestFit="1" customWidth="1"/>
    <col min="15714" max="15720" width="18.54296875" style="1" bestFit="1" customWidth="1"/>
    <col min="15721" max="15872" width="11.54296875" style="1"/>
    <col min="15873" max="15873" width="45.54296875" style="1" customWidth="1"/>
    <col min="15874" max="15874" width="8.81640625" style="1" bestFit="1" customWidth="1"/>
    <col min="15875" max="15875" width="13.7265625" style="1" bestFit="1" customWidth="1"/>
    <col min="15876" max="15876" width="16.81640625" style="1" customWidth="1"/>
    <col min="15877" max="15877" width="8.81640625" style="1" bestFit="1" customWidth="1"/>
    <col min="15878" max="15878" width="13.7265625" style="1" bestFit="1" customWidth="1"/>
    <col min="15879" max="15879" width="17.26953125" style="1" customWidth="1"/>
    <col min="15880" max="15880" width="15.81640625" style="1" bestFit="1" customWidth="1"/>
    <col min="15881" max="15889" width="17.7265625" style="1" customWidth="1"/>
    <col min="15890" max="15896" width="18.7265625" style="1" customWidth="1"/>
    <col min="15897" max="15905" width="17.7265625" style="1" customWidth="1"/>
    <col min="15906" max="15912" width="18.7265625" style="1" customWidth="1"/>
    <col min="15913" max="15921" width="17.7265625" style="1" customWidth="1"/>
    <col min="15922" max="15928" width="18.7265625" style="1" customWidth="1"/>
    <col min="15929" max="15937" width="17.7265625" style="1" customWidth="1"/>
    <col min="15938" max="15944" width="18.7265625" style="1" customWidth="1"/>
    <col min="15945" max="15953" width="17.54296875" style="1" customWidth="1"/>
    <col min="15954" max="15960" width="18.54296875" style="1" customWidth="1"/>
    <col min="15961" max="15969" width="17.54296875" style="1" bestFit="1" customWidth="1"/>
    <col min="15970" max="15976" width="18.54296875" style="1" bestFit="1" customWidth="1"/>
    <col min="15977" max="16128" width="11.54296875" style="1"/>
    <col min="16129" max="16129" width="45.54296875" style="1" customWidth="1"/>
    <col min="16130" max="16130" width="8.81640625" style="1" bestFit="1" customWidth="1"/>
    <col min="16131" max="16131" width="13.7265625" style="1" bestFit="1" customWidth="1"/>
    <col min="16132" max="16132" width="16.81640625" style="1" customWidth="1"/>
    <col min="16133" max="16133" width="8.81640625" style="1" bestFit="1" customWidth="1"/>
    <col min="16134" max="16134" width="13.7265625" style="1" bestFit="1" customWidth="1"/>
    <col min="16135" max="16135" width="17.26953125" style="1" customWidth="1"/>
    <col min="16136" max="16136" width="15.81640625" style="1" bestFit="1" customWidth="1"/>
    <col min="16137" max="16145" width="17.7265625" style="1" customWidth="1"/>
    <col min="16146" max="16152" width="18.7265625" style="1" customWidth="1"/>
    <col min="16153" max="16161" width="17.7265625" style="1" customWidth="1"/>
    <col min="16162" max="16168" width="18.7265625" style="1" customWidth="1"/>
    <col min="16169" max="16177" width="17.7265625" style="1" customWidth="1"/>
    <col min="16178" max="16184" width="18.7265625" style="1" customWidth="1"/>
    <col min="16185" max="16193" width="17.7265625" style="1" customWidth="1"/>
    <col min="16194" max="16200" width="18.7265625" style="1" customWidth="1"/>
    <col min="16201" max="16209" width="17.54296875" style="1" customWidth="1"/>
    <col min="16210" max="16216" width="18.54296875" style="1" customWidth="1"/>
    <col min="16217" max="16225" width="17.54296875" style="1" bestFit="1" customWidth="1"/>
    <col min="16226" max="16232" width="18.54296875" style="1" bestFit="1" customWidth="1"/>
    <col min="16233" max="16384" width="11.54296875" style="1"/>
  </cols>
  <sheetData>
    <row r="1" spans="1:104" ht="18" customHeight="1" thickBot="1" x14ac:dyDescent="0.35">
      <c r="G1" s="2" t="s">
        <v>0</v>
      </c>
    </row>
    <row r="3" spans="1:104" ht="23.5" x14ac:dyDescent="0.55000000000000004">
      <c r="A3" s="783" t="s">
        <v>1</v>
      </c>
      <c r="B3" s="783"/>
      <c r="C3" s="783"/>
      <c r="D3" s="783"/>
      <c r="E3" s="783"/>
      <c r="F3" s="783"/>
      <c r="G3" s="783"/>
    </row>
    <row r="4" spans="1:104" ht="23.5" x14ac:dyDescent="0.55000000000000004">
      <c r="A4" s="783" t="s">
        <v>2</v>
      </c>
      <c r="B4" s="783"/>
      <c r="C4" s="783"/>
      <c r="D4" s="783"/>
      <c r="E4" s="783"/>
      <c r="F4" s="783"/>
      <c r="G4" s="783"/>
    </row>
    <row r="5" spans="1:104" ht="23.5" x14ac:dyDescent="0.55000000000000004">
      <c r="A5" s="783" t="s">
        <v>3</v>
      </c>
      <c r="B5" s="783"/>
      <c r="C5" s="783"/>
      <c r="D5" s="783"/>
      <c r="E5" s="783"/>
      <c r="F5" s="783"/>
      <c r="G5" s="783"/>
    </row>
    <row r="6" spans="1:104" ht="18.5" x14ac:dyDescent="0.45">
      <c r="A6" s="784" t="s">
        <v>280</v>
      </c>
      <c r="B6" s="784"/>
      <c r="C6" s="784"/>
      <c r="D6" s="784"/>
      <c r="E6" s="784"/>
      <c r="F6" s="784"/>
      <c r="G6" s="784"/>
      <c r="H6"/>
    </row>
    <row r="7" spans="1:104" ht="18.5" x14ac:dyDescent="0.45">
      <c r="A7" s="784" t="s">
        <v>4</v>
      </c>
      <c r="B7" s="784"/>
      <c r="C7" s="784"/>
      <c r="D7" s="784"/>
      <c r="E7" s="784"/>
      <c r="F7" s="784"/>
      <c r="G7" s="784"/>
    </row>
    <row r="9" spans="1:104" ht="13.5" thickBot="1" x14ac:dyDescent="0.35"/>
    <row r="10" spans="1:104" ht="13.5" thickBot="1" x14ac:dyDescent="0.35">
      <c r="A10" s="785" t="s">
        <v>5</v>
      </c>
      <c r="B10" s="788" t="s">
        <v>6</v>
      </c>
      <c r="C10" s="789"/>
      <c r="D10" s="790"/>
      <c r="E10" s="788" t="s">
        <v>7</v>
      </c>
      <c r="F10" s="789"/>
      <c r="G10" s="790"/>
    </row>
    <row r="11" spans="1:104" x14ac:dyDescent="0.3">
      <c r="A11" s="786"/>
      <c r="B11" s="653" t="s">
        <v>8</v>
      </c>
      <c r="C11" s="653" t="s">
        <v>8</v>
      </c>
      <c r="D11" s="654"/>
      <c r="E11" s="653" t="s">
        <v>8</v>
      </c>
      <c r="F11" s="653" t="s">
        <v>8</v>
      </c>
      <c r="G11" s="654"/>
    </row>
    <row r="12" spans="1:104" ht="13.5" thickBot="1" x14ac:dyDescent="0.35">
      <c r="A12" s="787"/>
      <c r="B12" s="26" t="s">
        <v>9</v>
      </c>
      <c r="C12" s="26" t="s">
        <v>10</v>
      </c>
      <c r="D12" s="26" t="s">
        <v>11</v>
      </c>
      <c r="E12" s="26" t="s">
        <v>9</v>
      </c>
      <c r="F12" s="26" t="s">
        <v>10</v>
      </c>
      <c r="G12" s="26" t="s">
        <v>11</v>
      </c>
    </row>
    <row r="13" spans="1:104" x14ac:dyDescent="0.3">
      <c r="A13" s="6"/>
      <c r="B13" s="6"/>
      <c r="C13" s="6"/>
      <c r="D13" s="6"/>
      <c r="E13" s="6"/>
      <c r="F13" s="6"/>
      <c r="G13" s="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4" x14ac:dyDescent="0.3">
      <c r="A14" s="8" t="s">
        <v>12</v>
      </c>
      <c r="B14" s="655">
        <v>6963</v>
      </c>
      <c r="C14" s="655">
        <v>384731</v>
      </c>
      <c r="D14" s="655">
        <v>10562431860.719999</v>
      </c>
      <c r="E14" s="655">
        <v>22376</v>
      </c>
      <c r="F14" s="655">
        <v>173271</v>
      </c>
      <c r="G14" s="655">
        <v>26582964976.209999</v>
      </c>
      <c r="I14" s="7"/>
    </row>
    <row r="15" spans="1:104" x14ac:dyDescent="0.3">
      <c r="A15" s="6"/>
      <c r="B15" s="656"/>
      <c r="C15" s="656"/>
      <c r="D15" s="656"/>
      <c r="E15" s="656"/>
      <c r="F15" s="656"/>
      <c r="G15" s="656"/>
    </row>
    <row r="16" spans="1:104" x14ac:dyDescent="0.3">
      <c r="A16" s="11" t="s">
        <v>13</v>
      </c>
      <c r="B16" s="655">
        <v>4820</v>
      </c>
      <c r="C16" s="655">
        <v>136119</v>
      </c>
      <c r="D16" s="655">
        <v>1587406674.3699999</v>
      </c>
      <c r="E16" s="655">
        <v>9533</v>
      </c>
      <c r="F16" s="655">
        <v>46371</v>
      </c>
      <c r="G16" s="655">
        <v>6740919694.2600002</v>
      </c>
    </row>
    <row r="17" spans="1:9" x14ac:dyDescent="0.3">
      <c r="A17" s="6"/>
      <c r="B17" s="656"/>
      <c r="C17" s="656"/>
      <c r="D17" s="656"/>
      <c r="E17" s="656"/>
      <c r="F17" s="656"/>
      <c r="G17" s="656"/>
    </row>
    <row r="18" spans="1:9" ht="14.5" x14ac:dyDescent="0.35">
      <c r="A18" s="6" t="s">
        <v>14</v>
      </c>
      <c r="B18" s="656">
        <v>4775</v>
      </c>
      <c r="C18" s="656">
        <v>54017</v>
      </c>
      <c r="D18" s="656">
        <v>1122833459.4300001</v>
      </c>
      <c r="E18" s="656">
        <v>8758</v>
      </c>
      <c r="F18" s="656">
        <v>26812</v>
      </c>
      <c r="G18" s="656">
        <v>4569616250.1599998</v>
      </c>
      <c r="H18"/>
      <c r="I18" s="657"/>
    </row>
    <row r="19" spans="1:9" ht="14.5" x14ac:dyDescent="0.35">
      <c r="A19" s="12" t="s">
        <v>15</v>
      </c>
      <c r="B19" s="656">
        <v>0</v>
      </c>
      <c r="C19" s="656">
        <v>53077</v>
      </c>
      <c r="D19" s="656">
        <v>95555745.569999993</v>
      </c>
      <c r="E19" s="656">
        <v>0</v>
      </c>
      <c r="F19" s="656">
        <v>13739</v>
      </c>
      <c r="G19" s="656">
        <v>1685046090.46</v>
      </c>
      <c r="H19"/>
      <c r="I19" s="657"/>
    </row>
    <row r="20" spans="1:9" ht="14.5" x14ac:dyDescent="0.35">
      <c r="A20" s="6" t="s">
        <v>16</v>
      </c>
      <c r="B20" s="656">
        <v>0</v>
      </c>
      <c r="C20" s="656">
        <v>0</v>
      </c>
      <c r="D20" s="656">
        <v>1240000</v>
      </c>
      <c r="E20" s="656">
        <v>0</v>
      </c>
      <c r="F20" s="656">
        <v>0</v>
      </c>
      <c r="G20" s="656">
        <v>21607278.550000001</v>
      </c>
      <c r="H20"/>
      <c r="I20" s="657"/>
    </row>
    <row r="21" spans="1:9" ht="14.5" x14ac:dyDescent="0.35">
      <c r="A21" s="6" t="s">
        <v>17</v>
      </c>
      <c r="B21" s="656">
        <v>45</v>
      </c>
      <c r="C21" s="656">
        <v>29025</v>
      </c>
      <c r="D21" s="656">
        <v>367777469.37</v>
      </c>
      <c r="E21" s="656">
        <v>775</v>
      </c>
      <c r="F21" s="656">
        <v>5820</v>
      </c>
      <c r="G21" s="656">
        <v>464650075.08999997</v>
      </c>
      <c r="H21"/>
      <c r="I21" s="657"/>
    </row>
    <row r="22" spans="1:9" ht="14.5" x14ac:dyDescent="0.35">
      <c r="A22" s="6"/>
      <c r="B22" s="656"/>
      <c r="C22" s="656"/>
      <c r="D22" s="656"/>
      <c r="E22" s="656"/>
      <c r="F22" s="656"/>
      <c r="G22" s="656"/>
      <c r="H22"/>
      <c r="I22" s="657"/>
    </row>
    <row r="23" spans="1:9" x14ac:dyDescent="0.3">
      <c r="A23" s="11" t="s">
        <v>18</v>
      </c>
      <c r="B23" s="655">
        <v>661</v>
      </c>
      <c r="C23" s="655">
        <v>173890</v>
      </c>
      <c r="D23" s="655">
        <v>1129857272.4100001</v>
      </c>
      <c r="E23" s="655">
        <v>4795</v>
      </c>
      <c r="F23" s="655">
        <v>56996</v>
      </c>
      <c r="G23" s="655">
        <v>7471687895.1000004</v>
      </c>
    </row>
    <row r="24" spans="1:9" x14ac:dyDescent="0.3">
      <c r="A24" s="6"/>
      <c r="B24" s="656"/>
      <c r="C24" s="656"/>
      <c r="D24" s="656"/>
      <c r="E24" s="656"/>
      <c r="F24" s="656"/>
      <c r="G24" s="656"/>
    </row>
    <row r="25" spans="1:9" x14ac:dyDescent="0.3">
      <c r="A25" s="6" t="s">
        <v>19</v>
      </c>
      <c r="B25" s="656">
        <v>1</v>
      </c>
      <c r="C25" s="656">
        <v>8259</v>
      </c>
      <c r="D25" s="656">
        <v>11763165.32</v>
      </c>
      <c r="E25" s="656">
        <v>3</v>
      </c>
      <c r="F25" s="656">
        <v>1</v>
      </c>
      <c r="G25" s="656">
        <v>15795395.029999999</v>
      </c>
    </row>
    <row r="26" spans="1:9" x14ac:dyDescent="0.3">
      <c r="A26" s="6" t="s">
        <v>20</v>
      </c>
      <c r="B26" s="656">
        <v>0</v>
      </c>
      <c r="C26" s="656">
        <v>0</v>
      </c>
      <c r="D26" s="656">
        <v>4050504</v>
      </c>
      <c r="E26" s="656">
        <v>0</v>
      </c>
      <c r="F26" s="656">
        <v>0</v>
      </c>
      <c r="G26" s="656">
        <v>58982492</v>
      </c>
    </row>
    <row r="27" spans="1:9" x14ac:dyDescent="0.3">
      <c r="A27" s="6" t="s">
        <v>21</v>
      </c>
      <c r="B27" s="656">
        <v>183</v>
      </c>
      <c r="C27" s="656">
        <v>20762</v>
      </c>
      <c r="D27" s="656">
        <v>91994816.140000001</v>
      </c>
      <c r="E27" s="656">
        <v>2827</v>
      </c>
      <c r="F27" s="656">
        <v>15519</v>
      </c>
      <c r="G27" s="656">
        <v>2000681455.6400001</v>
      </c>
    </row>
    <row r="28" spans="1:9" x14ac:dyDescent="0.3">
      <c r="A28" s="6" t="s">
        <v>22</v>
      </c>
      <c r="B28" s="656">
        <v>0</v>
      </c>
      <c r="C28" s="656">
        <v>103138</v>
      </c>
      <c r="D28" s="656">
        <v>165285799.91</v>
      </c>
      <c r="E28" s="656">
        <v>0</v>
      </c>
      <c r="F28" s="656">
        <v>11530</v>
      </c>
      <c r="G28" s="656">
        <v>2559036178.9200001</v>
      </c>
      <c r="I28" s="39"/>
    </row>
    <row r="29" spans="1:9" x14ac:dyDescent="0.3">
      <c r="A29" s="6" t="s">
        <v>23</v>
      </c>
      <c r="B29" s="656">
        <v>158</v>
      </c>
      <c r="C29" s="656">
        <v>1153</v>
      </c>
      <c r="D29" s="656">
        <v>11883000.01</v>
      </c>
      <c r="E29" s="656">
        <v>1152</v>
      </c>
      <c r="F29" s="656">
        <v>10565</v>
      </c>
      <c r="G29" s="656">
        <v>1795826000</v>
      </c>
    </row>
    <row r="30" spans="1:9" x14ac:dyDescent="0.3">
      <c r="A30" s="6" t="s">
        <v>24</v>
      </c>
      <c r="B30" s="656">
        <v>287</v>
      </c>
      <c r="C30" s="656">
        <v>17960</v>
      </c>
      <c r="D30" s="656">
        <v>641651169.36000001</v>
      </c>
      <c r="E30" s="656">
        <v>701</v>
      </c>
      <c r="F30" s="656">
        <v>16167</v>
      </c>
      <c r="G30" s="656">
        <v>947990259.44000006</v>
      </c>
    </row>
    <row r="31" spans="1:9" x14ac:dyDescent="0.3">
      <c r="A31" s="6" t="s">
        <v>25</v>
      </c>
      <c r="B31" s="656">
        <v>0</v>
      </c>
      <c r="C31" s="656">
        <v>0</v>
      </c>
      <c r="D31" s="656">
        <v>0</v>
      </c>
      <c r="E31" s="656">
        <v>0</v>
      </c>
      <c r="F31" s="656">
        <v>0</v>
      </c>
      <c r="G31" s="656">
        <v>0</v>
      </c>
    </row>
    <row r="32" spans="1:9" x14ac:dyDescent="0.3">
      <c r="A32" s="6" t="s">
        <v>17</v>
      </c>
      <c r="B32" s="656">
        <v>32</v>
      </c>
      <c r="C32" s="656">
        <v>22618</v>
      </c>
      <c r="D32" s="656">
        <v>203228817.66999999</v>
      </c>
      <c r="E32" s="656">
        <v>112</v>
      </c>
      <c r="F32" s="656">
        <v>3214</v>
      </c>
      <c r="G32" s="656">
        <v>93376114.069999993</v>
      </c>
    </row>
    <row r="33" spans="1:7" x14ac:dyDescent="0.3">
      <c r="A33" s="6"/>
      <c r="B33" s="656"/>
      <c r="C33" s="656"/>
      <c r="D33" s="656"/>
      <c r="E33" s="656"/>
      <c r="F33" s="656"/>
      <c r="G33" s="656"/>
    </row>
    <row r="34" spans="1:7" x14ac:dyDescent="0.3">
      <c r="A34" s="11" t="s">
        <v>26</v>
      </c>
      <c r="B34" s="655">
        <v>11122</v>
      </c>
      <c r="C34" s="655">
        <v>346960</v>
      </c>
      <c r="D34" s="655">
        <v>11019981262.68</v>
      </c>
      <c r="E34" s="655">
        <v>27114</v>
      </c>
      <c r="F34" s="655">
        <v>162646</v>
      </c>
      <c r="G34" s="655">
        <v>25852196775.370003</v>
      </c>
    </row>
    <row r="35" spans="1:7" ht="13.5" thickBot="1" x14ac:dyDescent="0.35">
      <c r="A35" s="13"/>
      <c r="B35" s="658"/>
      <c r="C35" s="658"/>
      <c r="D35" s="658"/>
      <c r="E35" s="658"/>
      <c r="F35" s="658"/>
      <c r="G35" s="658"/>
    </row>
    <row r="36" spans="1:7" x14ac:dyDescent="0.3">
      <c r="A36" s="7" t="s">
        <v>71</v>
      </c>
      <c r="D36" s="659"/>
    </row>
    <row r="37" spans="1:7" x14ac:dyDescent="0.3">
      <c r="A37" s="7" t="s">
        <v>28</v>
      </c>
      <c r="D37" s="16"/>
      <c r="G37" s="16"/>
    </row>
    <row r="38" spans="1:7" x14ac:dyDescent="0.3">
      <c r="A38" s="7" t="s">
        <v>29</v>
      </c>
    </row>
    <row r="39" spans="1:7" x14ac:dyDescent="0.3">
      <c r="A39" s="7" t="s">
        <v>281</v>
      </c>
    </row>
    <row r="40" spans="1:7" x14ac:dyDescent="0.3">
      <c r="A40" s="7" t="s">
        <v>30</v>
      </c>
      <c r="B40" s="17"/>
      <c r="C40" s="17"/>
      <c r="D40" s="18"/>
      <c r="E40" s="17"/>
      <c r="F40" s="17"/>
      <c r="G40" s="17"/>
    </row>
  </sheetData>
  <mergeCells count="8">
    <mergeCell ref="A10:A12"/>
    <mergeCell ref="B10:D10"/>
    <mergeCell ref="E10:G10"/>
    <mergeCell ref="A3:G3"/>
    <mergeCell ref="A4:G4"/>
    <mergeCell ref="A5:G5"/>
    <mergeCell ref="A6:G6"/>
    <mergeCell ref="A7:G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9"/>
  <sheetViews>
    <sheetView topLeftCell="L7" workbookViewId="0">
      <selection activeCell="B9" sqref="B9:G11"/>
    </sheetView>
  </sheetViews>
  <sheetFormatPr baseColWidth="10" defaultColWidth="33" defaultRowHeight="13" x14ac:dyDescent="0.3"/>
  <cols>
    <col min="1" max="1" width="33" style="1" customWidth="1"/>
    <col min="2" max="16384" width="33" style="1"/>
  </cols>
  <sheetData>
    <row r="1" spans="1:19" ht="18" customHeight="1" thickBot="1" x14ac:dyDescent="0.35">
      <c r="R1" s="799" t="s">
        <v>33</v>
      </c>
      <c r="S1" s="800"/>
    </row>
    <row r="3" spans="1:19" ht="23.5" x14ac:dyDescent="0.55000000000000004">
      <c r="A3" s="783" t="s">
        <v>34</v>
      </c>
      <c r="B3" s="783"/>
      <c r="C3" s="783"/>
      <c r="D3" s="783"/>
      <c r="E3" s="783"/>
      <c r="F3" s="783"/>
      <c r="G3" s="783"/>
      <c r="H3" s="783"/>
      <c r="I3" s="783"/>
      <c r="J3" s="783"/>
      <c r="K3" s="783"/>
      <c r="L3" s="783"/>
      <c r="M3" s="783"/>
      <c r="N3" s="783"/>
      <c r="O3" s="783"/>
      <c r="P3" s="783"/>
      <c r="Q3" s="783"/>
      <c r="R3" s="783"/>
      <c r="S3" s="783"/>
    </row>
    <row r="4" spans="1:19" ht="23.5" x14ac:dyDescent="0.55000000000000004">
      <c r="A4" s="783" t="s">
        <v>3</v>
      </c>
      <c r="B4" s="783"/>
      <c r="C4" s="783"/>
      <c r="D4" s="783"/>
      <c r="E4" s="783"/>
      <c r="F4" s="783"/>
      <c r="G4" s="783"/>
      <c r="H4" s="783"/>
      <c r="I4" s="783"/>
      <c r="J4" s="783"/>
      <c r="K4" s="783"/>
      <c r="L4" s="783"/>
      <c r="M4" s="783"/>
      <c r="N4" s="783"/>
      <c r="O4" s="783"/>
      <c r="P4" s="783"/>
      <c r="Q4" s="783"/>
      <c r="R4" s="783"/>
      <c r="S4" s="783"/>
    </row>
    <row r="5" spans="1:19" ht="18" customHeight="1" x14ac:dyDescent="0.45">
      <c r="A5" s="784" t="s">
        <v>35</v>
      </c>
      <c r="B5" s="784"/>
      <c r="C5" s="784"/>
      <c r="D5" s="784"/>
      <c r="E5" s="784"/>
      <c r="F5" s="784"/>
      <c r="G5" s="784"/>
      <c r="H5" s="784"/>
      <c r="I5" s="784"/>
      <c r="J5" s="784"/>
      <c r="K5" s="784"/>
      <c r="L5" s="784"/>
      <c r="M5" s="784"/>
      <c r="N5" s="784"/>
      <c r="O5" s="784"/>
      <c r="P5" s="784"/>
      <c r="Q5" s="784"/>
      <c r="R5" s="784"/>
      <c r="S5" s="784"/>
    </row>
    <row r="6" spans="1:19" ht="18" customHeight="1" x14ac:dyDescent="0.45">
      <c r="A6" s="784" t="s">
        <v>36</v>
      </c>
      <c r="B6" s="784"/>
      <c r="C6" s="784"/>
      <c r="D6" s="784"/>
      <c r="E6" s="784"/>
      <c r="F6" s="784"/>
      <c r="G6" s="784"/>
      <c r="H6" s="784"/>
      <c r="I6" s="784"/>
      <c r="J6" s="784"/>
      <c r="K6" s="784"/>
      <c r="L6" s="784"/>
      <c r="M6" s="784"/>
      <c r="N6" s="784"/>
      <c r="O6" s="784"/>
      <c r="P6" s="784"/>
      <c r="Q6" s="784"/>
      <c r="R6" s="784"/>
      <c r="S6" s="784"/>
    </row>
    <row r="7" spans="1:19" ht="15.5" x14ac:dyDescent="0.35">
      <c r="A7" s="19"/>
      <c r="B7" s="19"/>
      <c r="C7" s="19"/>
      <c r="D7" s="19"/>
      <c r="E7" s="19"/>
      <c r="F7" s="19"/>
      <c r="G7" s="19"/>
      <c r="H7" s="19"/>
      <c r="I7" s="19"/>
      <c r="J7" s="19"/>
      <c r="K7" s="19"/>
      <c r="L7" s="19"/>
      <c r="M7" s="19"/>
      <c r="N7" s="19"/>
      <c r="O7" s="19"/>
      <c r="P7" s="19"/>
      <c r="Q7" s="19"/>
      <c r="R7" s="20"/>
      <c r="S7" s="20"/>
    </row>
    <row r="8" spans="1:19" ht="16" thickBot="1" x14ac:dyDescent="0.4">
      <c r="A8" s="19"/>
      <c r="B8" s="19"/>
      <c r="C8" s="19"/>
      <c r="D8" s="19"/>
      <c r="E8" s="19"/>
      <c r="F8" s="19"/>
      <c r="G8" s="19"/>
      <c r="H8" s="19"/>
      <c r="I8" s="19"/>
      <c r="J8" s="19"/>
      <c r="K8" s="19"/>
      <c r="L8" s="19"/>
      <c r="M8" s="19"/>
      <c r="N8" s="19"/>
      <c r="O8" s="19"/>
      <c r="P8" s="19"/>
      <c r="Q8" s="19"/>
      <c r="R8" s="20"/>
      <c r="S8" s="20"/>
    </row>
    <row r="9" spans="1:19" ht="15" customHeight="1" thickBot="1" x14ac:dyDescent="0.35">
      <c r="A9" s="21"/>
      <c r="B9" s="791" t="s">
        <v>37</v>
      </c>
      <c r="C9" s="792"/>
      <c r="D9" s="792"/>
      <c r="E9" s="792"/>
      <c r="F9" s="792"/>
      <c r="G9" s="793"/>
      <c r="H9" s="791" t="s">
        <v>38</v>
      </c>
      <c r="I9" s="792"/>
      <c r="J9" s="792"/>
      <c r="K9" s="792"/>
      <c r="L9" s="792"/>
      <c r="M9" s="793"/>
      <c r="N9" s="794" t="s">
        <v>39</v>
      </c>
      <c r="O9" s="795"/>
      <c r="P9" s="795"/>
      <c r="Q9" s="795"/>
      <c r="R9" s="795"/>
      <c r="S9" s="796"/>
    </row>
    <row r="10" spans="1:19" ht="15" customHeight="1" thickBot="1" x14ac:dyDescent="0.35">
      <c r="A10" s="22" t="s">
        <v>40</v>
      </c>
      <c r="B10" s="785" t="s">
        <v>41</v>
      </c>
      <c r="C10" s="791" t="s">
        <v>42</v>
      </c>
      <c r="D10" s="793"/>
      <c r="E10" s="785" t="s">
        <v>43</v>
      </c>
      <c r="F10" s="797" t="s">
        <v>44</v>
      </c>
      <c r="G10" s="798"/>
      <c r="H10" s="785" t="s">
        <v>41</v>
      </c>
      <c r="I10" s="791" t="s">
        <v>42</v>
      </c>
      <c r="J10" s="793"/>
      <c r="K10" s="785" t="s">
        <v>43</v>
      </c>
      <c r="L10" s="791" t="s">
        <v>44</v>
      </c>
      <c r="M10" s="793"/>
      <c r="N10" s="21"/>
      <c r="O10" s="791" t="s">
        <v>42</v>
      </c>
      <c r="P10" s="793"/>
      <c r="Q10" s="785" t="s">
        <v>43</v>
      </c>
      <c r="R10" s="797" t="s">
        <v>44</v>
      </c>
      <c r="S10" s="798"/>
    </row>
    <row r="11" spans="1:19" ht="39" customHeight="1" thickBot="1" x14ac:dyDescent="0.35">
      <c r="A11" s="23"/>
      <c r="B11" s="787"/>
      <c r="C11" s="24" t="s">
        <v>45</v>
      </c>
      <c r="D11" s="24" t="s">
        <v>11</v>
      </c>
      <c r="E11" s="787"/>
      <c r="F11" s="25" t="s">
        <v>46</v>
      </c>
      <c r="G11" s="25" t="s">
        <v>47</v>
      </c>
      <c r="H11" s="787"/>
      <c r="I11" s="24" t="s">
        <v>45</v>
      </c>
      <c r="J11" s="24" t="s">
        <v>11</v>
      </c>
      <c r="K11" s="787"/>
      <c r="L11" s="25" t="s">
        <v>46</v>
      </c>
      <c r="M11" s="25" t="s">
        <v>47</v>
      </c>
      <c r="N11" s="26" t="s">
        <v>41</v>
      </c>
      <c r="O11" s="24" t="s">
        <v>45</v>
      </c>
      <c r="P11" s="24" t="s">
        <v>11</v>
      </c>
      <c r="Q11" s="787"/>
      <c r="R11" s="25" t="s">
        <v>46</v>
      </c>
      <c r="S11" s="25" t="s">
        <v>47</v>
      </c>
    </row>
    <row r="12" spans="1:19" ht="15" customHeight="1" x14ac:dyDescent="0.3">
      <c r="A12" s="6"/>
      <c r="B12" s="6"/>
      <c r="C12" s="6"/>
      <c r="D12" s="6"/>
      <c r="E12" s="6"/>
      <c r="F12" s="6"/>
      <c r="G12" s="6"/>
      <c r="H12" s="6"/>
      <c r="I12" s="6"/>
      <c r="J12" s="6"/>
      <c r="K12" s="6"/>
      <c r="L12" s="6"/>
      <c r="M12" s="6"/>
      <c r="N12" s="6"/>
      <c r="O12" s="6"/>
      <c r="P12" s="6"/>
      <c r="Q12" s="6"/>
      <c r="R12" s="6"/>
      <c r="S12" s="6"/>
    </row>
    <row r="13" spans="1:19" ht="15" customHeight="1" x14ac:dyDescent="0.3">
      <c r="A13" s="27" t="s">
        <v>39</v>
      </c>
      <c r="B13" s="28">
        <v>440691490.58999997</v>
      </c>
      <c r="C13" s="28">
        <v>498757</v>
      </c>
      <c r="D13" s="28">
        <v>191060011.38</v>
      </c>
      <c r="E13" s="28">
        <v>2386644.92</v>
      </c>
      <c r="F13" s="28">
        <v>1084373.42</v>
      </c>
      <c r="G13" s="28">
        <v>36627</v>
      </c>
      <c r="H13" s="28">
        <v>25421417</v>
      </c>
      <c r="I13" s="28">
        <v>62039</v>
      </c>
      <c r="J13" s="28">
        <v>8612902.6799999997</v>
      </c>
      <c r="K13" s="29">
        <v>2331</v>
      </c>
      <c r="L13" s="29">
        <v>1612079</v>
      </c>
      <c r="M13" s="29">
        <v>0</v>
      </c>
      <c r="N13" s="28">
        <v>466112907.58999997</v>
      </c>
      <c r="O13" s="28">
        <v>560796</v>
      </c>
      <c r="P13" s="28">
        <v>199672914.06</v>
      </c>
      <c r="Q13" s="28">
        <v>2388975.92</v>
      </c>
      <c r="R13" s="28">
        <v>2696452.42</v>
      </c>
      <c r="S13" s="28">
        <v>36627</v>
      </c>
    </row>
    <row r="14" spans="1:19" ht="15" customHeight="1" x14ac:dyDescent="0.3">
      <c r="A14" s="6"/>
      <c r="B14" s="30"/>
      <c r="C14" s="30"/>
      <c r="D14" s="30"/>
      <c r="E14" s="30"/>
      <c r="F14" s="30"/>
      <c r="G14" s="30"/>
      <c r="H14" s="30"/>
      <c r="I14" s="30"/>
      <c r="J14" s="30"/>
      <c r="K14" s="29"/>
      <c r="L14" s="30"/>
      <c r="M14" s="29"/>
      <c r="N14" s="30"/>
      <c r="O14" s="30"/>
      <c r="P14" s="30"/>
      <c r="Q14" s="30"/>
      <c r="R14" s="30"/>
      <c r="S14" s="30"/>
    </row>
    <row r="15" spans="1:19" ht="15" customHeight="1" x14ac:dyDescent="0.3">
      <c r="A15" s="11" t="s">
        <v>48</v>
      </c>
      <c r="B15" s="28">
        <v>106437031.47999999</v>
      </c>
      <c r="C15" s="28">
        <v>14422</v>
      </c>
      <c r="D15" s="28">
        <v>37345391.700000003</v>
      </c>
      <c r="E15" s="28">
        <v>2386644.92</v>
      </c>
      <c r="F15" s="28">
        <v>1084373.42</v>
      </c>
      <c r="G15" s="28">
        <v>36627</v>
      </c>
      <c r="H15" s="28">
        <v>12834235</v>
      </c>
      <c r="I15" s="28">
        <v>178</v>
      </c>
      <c r="J15" s="28">
        <v>1741023</v>
      </c>
      <c r="K15" s="29">
        <v>2331</v>
      </c>
      <c r="L15" s="29">
        <v>1612079</v>
      </c>
      <c r="M15" s="29">
        <v>0</v>
      </c>
      <c r="N15" s="28">
        <v>119271266.47999999</v>
      </c>
      <c r="O15" s="28">
        <v>14600</v>
      </c>
      <c r="P15" s="28">
        <v>39086414.700000003</v>
      </c>
      <c r="Q15" s="28">
        <v>2388975.92</v>
      </c>
      <c r="R15" s="28">
        <v>2696452.42</v>
      </c>
      <c r="S15" s="28">
        <v>36627</v>
      </c>
    </row>
    <row r="16" spans="1:19" ht="15" customHeight="1" x14ac:dyDescent="0.3">
      <c r="A16" s="6"/>
      <c r="B16" s="30"/>
      <c r="C16" s="30"/>
      <c r="D16" s="30"/>
      <c r="E16" s="30"/>
      <c r="F16" s="30"/>
      <c r="G16" s="30"/>
      <c r="H16" s="30"/>
      <c r="I16" s="30"/>
      <c r="J16" s="30"/>
      <c r="K16" s="30"/>
      <c r="L16" s="30"/>
      <c r="M16" s="30"/>
      <c r="N16" s="30"/>
      <c r="O16" s="30"/>
      <c r="P16" s="30"/>
      <c r="Q16" s="30"/>
      <c r="R16" s="30"/>
      <c r="S16" s="30"/>
    </row>
    <row r="17" spans="1:19" ht="15" customHeight="1" x14ac:dyDescent="0.3">
      <c r="A17" s="6" t="s">
        <v>49</v>
      </c>
      <c r="B17" s="30">
        <v>8858244</v>
      </c>
      <c r="C17" s="30">
        <v>289</v>
      </c>
      <c r="D17" s="30">
        <v>995269</v>
      </c>
      <c r="E17" s="30">
        <v>2290297</v>
      </c>
      <c r="F17" s="30">
        <v>1008044</v>
      </c>
      <c r="G17" s="30">
        <v>36627</v>
      </c>
      <c r="H17" s="29">
        <v>8629001</v>
      </c>
      <c r="I17" s="29">
        <v>28</v>
      </c>
      <c r="J17" s="29">
        <v>1193395</v>
      </c>
      <c r="K17" s="29">
        <v>2331</v>
      </c>
      <c r="L17" s="29">
        <v>1612079</v>
      </c>
      <c r="M17" s="29">
        <v>0</v>
      </c>
      <c r="N17" s="30">
        <v>17487245</v>
      </c>
      <c r="O17" s="30">
        <v>317</v>
      </c>
      <c r="P17" s="30">
        <v>2188664</v>
      </c>
      <c r="Q17" s="30">
        <v>2292628</v>
      </c>
      <c r="R17" s="30">
        <v>2620123</v>
      </c>
      <c r="S17" s="30">
        <v>36627</v>
      </c>
    </row>
    <row r="18" spans="1:19" ht="15" customHeight="1" x14ac:dyDescent="0.3">
      <c r="A18" s="6" t="s">
        <v>50</v>
      </c>
      <c r="B18" s="30">
        <v>36799493.479999997</v>
      </c>
      <c r="C18" s="30">
        <v>5250</v>
      </c>
      <c r="D18" s="30">
        <v>13716854.699999999</v>
      </c>
      <c r="E18" s="30">
        <v>96347.920000000013</v>
      </c>
      <c r="F18" s="30">
        <v>76329.42</v>
      </c>
      <c r="G18" s="31">
        <v>0</v>
      </c>
      <c r="H18" s="29">
        <v>689752</v>
      </c>
      <c r="I18" s="29">
        <v>0</v>
      </c>
      <c r="J18" s="29">
        <v>0</v>
      </c>
      <c r="K18" s="29">
        <v>0</v>
      </c>
      <c r="L18" s="29">
        <v>0</v>
      </c>
      <c r="M18" s="29">
        <v>0</v>
      </c>
      <c r="N18" s="30">
        <v>37489245.479999997</v>
      </c>
      <c r="O18" s="30">
        <v>5250</v>
      </c>
      <c r="P18" s="30">
        <v>13716854.699999999</v>
      </c>
      <c r="Q18" s="30">
        <v>96347.920000000013</v>
      </c>
      <c r="R18" s="30">
        <v>76329.42</v>
      </c>
      <c r="S18" s="31">
        <v>0</v>
      </c>
    </row>
    <row r="19" spans="1:19" ht="15" customHeight="1" x14ac:dyDescent="0.3">
      <c r="A19" s="6" t="s">
        <v>51</v>
      </c>
      <c r="B19" s="30">
        <v>60779294</v>
      </c>
      <c r="C19" s="30">
        <v>8883</v>
      </c>
      <c r="D19" s="30">
        <v>22633268</v>
      </c>
      <c r="E19" s="31">
        <v>0</v>
      </c>
      <c r="F19" s="31">
        <v>0</v>
      </c>
      <c r="G19" s="31">
        <v>0</v>
      </c>
      <c r="H19" s="30">
        <v>3515482</v>
      </c>
      <c r="I19" s="30">
        <v>150</v>
      </c>
      <c r="J19" s="30">
        <v>547628</v>
      </c>
      <c r="K19" s="29">
        <v>0</v>
      </c>
      <c r="L19" s="29">
        <v>0</v>
      </c>
      <c r="M19" s="29">
        <v>0</v>
      </c>
      <c r="N19" s="30">
        <v>64294776</v>
      </c>
      <c r="O19" s="30">
        <v>9033</v>
      </c>
      <c r="P19" s="30">
        <v>23180896</v>
      </c>
      <c r="Q19" s="31">
        <v>0</v>
      </c>
      <c r="R19" s="31">
        <v>0</v>
      </c>
      <c r="S19" s="31">
        <v>0</v>
      </c>
    </row>
    <row r="20" spans="1:19" ht="15" customHeight="1" x14ac:dyDescent="0.3">
      <c r="A20" s="6"/>
      <c r="B20" s="30"/>
      <c r="C20" s="30"/>
      <c r="D20" s="30"/>
      <c r="E20" s="30"/>
      <c r="F20" s="30"/>
      <c r="G20" s="30"/>
      <c r="H20" s="29"/>
      <c r="I20" s="29"/>
      <c r="J20" s="29"/>
      <c r="K20" s="29">
        <v>0</v>
      </c>
      <c r="L20" s="29">
        <v>0</v>
      </c>
      <c r="M20" s="29">
        <v>0</v>
      </c>
      <c r="N20" s="30"/>
      <c r="O20" s="30"/>
      <c r="P20" s="30"/>
      <c r="Q20" s="30"/>
      <c r="R20" s="30"/>
      <c r="S20" s="30"/>
    </row>
    <row r="21" spans="1:19" ht="15" customHeight="1" x14ac:dyDescent="0.3">
      <c r="A21" s="11" t="s">
        <v>52</v>
      </c>
      <c r="B21" s="28">
        <v>51875632.109999999</v>
      </c>
      <c r="C21" s="28">
        <v>7317</v>
      </c>
      <c r="D21" s="28">
        <v>28674886.760000002</v>
      </c>
      <c r="E21" s="32">
        <v>0</v>
      </c>
      <c r="F21" s="32">
        <v>0</v>
      </c>
      <c r="G21" s="32">
        <v>0</v>
      </c>
      <c r="H21" s="33">
        <v>0</v>
      </c>
      <c r="I21" s="33">
        <v>36</v>
      </c>
      <c r="J21" s="33">
        <v>3784.6799999999989</v>
      </c>
      <c r="K21" s="33">
        <v>0</v>
      </c>
      <c r="L21" s="33">
        <v>0</v>
      </c>
      <c r="M21" s="33">
        <v>0</v>
      </c>
      <c r="N21" s="28">
        <v>51875632.109999999</v>
      </c>
      <c r="O21" s="28">
        <v>7353</v>
      </c>
      <c r="P21" s="28">
        <v>28678671.440000001</v>
      </c>
      <c r="Q21" s="31">
        <v>0</v>
      </c>
      <c r="R21" s="31">
        <v>0</v>
      </c>
      <c r="S21" s="32">
        <v>0</v>
      </c>
    </row>
    <row r="22" spans="1:19" ht="15" customHeight="1" x14ac:dyDescent="0.3">
      <c r="A22" s="6"/>
      <c r="B22" s="30"/>
      <c r="C22" s="30"/>
      <c r="D22" s="30"/>
      <c r="E22" s="28"/>
      <c r="F22" s="28"/>
      <c r="G22" s="28"/>
      <c r="H22" s="30"/>
      <c r="I22" s="30"/>
      <c r="J22" s="30"/>
      <c r="K22" s="30"/>
      <c r="L22" s="30"/>
      <c r="M22" s="30"/>
      <c r="N22" s="30"/>
      <c r="O22" s="30"/>
      <c r="P22" s="30"/>
      <c r="Q22" s="31"/>
      <c r="R22" s="31"/>
      <c r="S22" s="28"/>
    </row>
    <row r="23" spans="1:19" ht="15" customHeight="1" x14ac:dyDescent="0.3">
      <c r="A23" s="11" t="s">
        <v>1</v>
      </c>
      <c r="B23" s="28">
        <v>64923467</v>
      </c>
      <c r="C23" s="28">
        <v>421069</v>
      </c>
      <c r="D23" s="28">
        <v>52194354</v>
      </c>
      <c r="E23" s="32">
        <v>0</v>
      </c>
      <c r="F23" s="32">
        <v>0</v>
      </c>
      <c r="G23" s="32">
        <v>0</v>
      </c>
      <c r="H23" s="28">
        <v>12587182</v>
      </c>
      <c r="I23" s="28">
        <v>61825</v>
      </c>
      <c r="J23" s="28">
        <v>6868095</v>
      </c>
      <c r="K23" s="33">
        <v>0</v>
      </c>
      <c r="L23" s="33">
        <v>0</v>
      </c>
      <c r="M23" s="33">
        <v>0</v>
      </c>
      <c r="N23" s="28">
        <v>77510649</v>
      </c>
      <c r="O23" s="28">
        <v>482894</v>
      </c>
      <c r="P23" s="28">
        <v>59062449</v>
      </c>
      <c r="Q23" s="31">
        <v>0</v>
      </c>
      <c r="R23" s="31">
        <v>0</v>
      </c>
      <c r="S23" s="32">
        <v>0</v>
      </c>
    </row>
    <row r="24" spans="1:19" ht="15" customHeight="1" x14ac:dyDescent="0.3">
      <c r="A24" s="6"/>
      <c r="B24" s="30"/>
      <c r="C24" s="30"/>
      <c r="D24" s="30"/>
      <c r="E24" s="30"/>
      <c r="F24" s="30"/>
      <c r="G24" s="30"/>
      <c r="H24" s="30"/>
      <c r="I24" s="30"/>
      <c r="J24" s="30"/>
      <c r="K24" s="30"/>
      <c r="L24" s="30"/>
      <c r="M24" s="30"/>
      <c r="N24" s="30"/>
      <c r="O24" s="30"/>
      <c r="P24" s="30"/>
      <c r="Q24" s="31"/>
      <c r="R24" s="31"/>
      <c r="S24" s="30"/>
    </row>
    <row r="25" spans="1:19" ht="15" customHeight="1" x14ac:dyDescent="0.3">
      <c r="A25" s="6" t="s">
        <v>53</v>
      </c>
      <c r="B25" s="30">
        <v>3841428</v>
      </c>
      <c r="C25" s="30">
        <v>5626</v>
      </c>
      <c r="D25" s="30">
        <v>1357112</v>
      </c>
      <c r="E25" s="31">
        <v>0</v>
      </c>
      <c r="F25" s="31">
        <v>0</v>
      </c>
      <c r="G25" s="31">
        <v>0</v>
      </c>
      <c r="H25" s="31">
        <v>0</v>
      </c>
      <c r="I25" s="29">
        <v>0</v>
      </c>
      <c r="J25" s="29">
        <v>0</v>
      </c>
      <c r="K25" s="29">
        <v>0</v>
      </c>
      <c r="L25" s="29">
        <v>0</v>
      </c>
      <c r="M25" s="29">
        <v>0</v>
      </c>
      <c r="N25" s="30">
        <v>3841428</v>
      </c>
      <c r="O25" s="30">
        <v>5626</v>
      </c>
      <c r="P25" s="30">
        <v>1357112</v>
      </c>
      <c r="Q25" s="31">
        <v>0</v>
      </c>
      <c r="R25" s="31">
        <v>0</v>
      </c>
      <c r="S25" s="31">
        <v>0</v>
      </c>
    </row>
    <row r="26" spans="1:19" ht="15" customHeight="1" x14ac:dyDescent="0.3">
      <c r="A26" s="6" t="s">
        <v>54</v>
      </c>
      <c r="B26" s="30">
        <v>61082039</v>
      </c>
      <c r="C26" s="30">
        <v>415443</v>
      </c>
      <c r="D26" s="30">
        <v>50837242</v>
      </c>
      <c r="E26" s="31">
        <v>0</v>
      </c>
      <c r="F26" s="31">
        <v>0</v>
      </c>
      <c r="G26" s="31">
        <v>0</v>
      </c>
      <c r="H26" s="30">
        <v>12587182</v>
      </c>
      <c r="I26" s="30">
        <v>61825</v>
      </c>
      <c r="J26" s="30">
        <v>6868095</v>
      </c>
      <c r="K26" s="29">
        <v>0</v>
      </c>
      <c r="L26" s="29">
        <v>0</v>
      </c>
      <c r="M26" s="29">
        <v>0</v>
      </c>
      <c r="N26" s="30">
        <v>73669220</v>
      </c>
      <c r="O26" s="30">
        <v>477268</v>
      </c>
      <c r="P26" s="30">
        <v>57705337</v>
      </c>
      <c r="Q26" s="31">
        <v>0</v>
      </c>
      <c r="R26" s="31">
        <v>0</v>
      </c>
      <c r="S26" s="31">
        <v>0</v>
      </c>
    </row>
    <row r="27" spans="1:19" ht="15" customHeight="1" x14ac:dyDescent="0.3">
      <c r="A27" s="6"/>
      <c r="B27" s="30"/>
      <c r="C27" s="30"/>
      <c r="D27" s="30"/>
      <c r="E27" s="31"/>
      <c r="F27" s="31"/>
      <c r="G27" s="31"/>
      <c r="H27" s="34"/>
      <c r="I27" s="30"/>
      <c r="J27" s="30"/>
      <c r="K27" s="30"/>
      <c r="L27" s="30"/>
      <c r="M27" s="30"/>
      <c r="N27" s="30"/>
      <c r="O27" s="30"/>
      <c r="P27" s="30"/>
      <c r="Q27" s="31"/>
      <c r="R27" s="31"/>
      <c r="S27" s="31"/>
    </row>
    <row r="28" spans="1:19" ht="15" customHeight="1" x14ac:dyDescent="0.3">
      <c r="A28" s="11" t="s">
        <v>55</v>
      </c>
      <c r="B28" s="28">
        <v>203981289</v>
      </c>
      <c r="C28" s="28">
        <v>55916</v>
      </c>
      <c r="D28" s="28">
        <v>70043901.920000002</v>
      </c>
      <c r="E28" s="32">
        <v>0</v>
      </c>
      <c r="F28" s="32">
        <v>0</v>
      </c>
      <c r="G28" s="32">
        <v>0</v>
      </c>
      <c r="H28" s="31">
        <v>0</v>
      </c>
      <c r="I28" s="31">
        <v>0</v>
      </c>
      <c r="J28" s="31">
        <v>0</v>
      </c>
      <c r="K28" s="31"/>
      <c r="L28" s="31"/>
      <c r="M28" s="31"/>
      <c r="N28" s="28">
        <v>203981289</v>
      </c>
      <c r="O28" s="28">
        <v>55916</v>
      </c>
      <c r="P28" s="28">
        <v>70043901.920000002</v>
      </c>
      <c r="Q28" s="31">
        <v>0</v>
      </c>
      <c r="R28" s="31">
        <v>0</v>
      </c>
      <c r="S28" s="32">
        <v>0</v>
      </c>
    </row>
    <row r="29" spans="1:19" ht="15" customHeight="1" x14ac:dyDescent="0.3">
      <c r="A29" s="6"/>
      <c r="B29" s="30"/>
      <c r="C29" s="30"/>
      <c r="D29" s="30"/>
      <c r="E29" s="31"/>
      <c r="F29" s="31"/>
      <c r="G29" s="31"/>
      <c r="H29" s="30"/>
      <c r="I29" s="30"/>
      <c r="J29" s="30"/>
      <c r="K29" s="30"/>
      <c r="L29" s="30"/>
      <c r="M29" s="30"/>
      <c r="N29" s="30"/>
      <c r="O29" s="30"/>
      <c r="P29" s="30"/>
      <c r="Q29" s="31"/>
      <c r="R29" s="31"/>
      <c r="S29" s="31"/>
    </row>
    <row r="30" spans="1:19" ht="15" customHeight="1" x14ac:dyDescent="0.3">
      <c r="A30" s="6" t="s">
        <v>56</v>
      </c>
      <c r="B30" s="30">
        <v>0</v>
      </c>
      <c r="C30" s="30">
        <v>12</v>
      </c>
      <c r="D30" s="30">
        <v>148.91999999999999</v>
      </c>
      <c r="E30" s="31">
        <v>0</v>
      </c>
      <c r="F30" s="31">
        <v>0</v>
      </c>
      <c r="G30" s="31">
        <v>0</v>
      </c>
      <c r="H30" s="31">
        <v>0</v>
      </c>
      <c r="I30" s="31">
        <v>0</v>
      </c>
      <c r="J30" s="31">
        <v>0</v>
      </c>
      <c r="K30" s="31">
        <v>0</v>
      </c>
      <c r="L30" s="31">
        <v>0</v>
      </c>
      <c r="M30" s="31">
        <v>0</v>
      </c>
      <c r="N30" s="30">
        <v>0</v>
      </c>
      <c r="O30" s="30">
        <v>12</v>
      </c>
      <c r="P30" s="30">
        <v>148.91999999999999</v>
      </c>
      <c r="Q30" s="31">
        <v>0</v>
      </c>
      <c r="R30" s="31">
        <v>0</v>
      </c>
      <c r="S30" s="31">
        <v>0</v>
      </c>
    </row>
    <row r="31" spans="1:19" ht="15" customHeight="1" x14ac:dyDescent="0.3">
      <c r="A31" s="6" t="s">
        <v>57</v>
      </c>
      <c r="B31" s="30">
        <v>81649108</v>
      </c>
      <c r="C31" s="30">
        <v>5905</v>
      </c>
      <c r="D31" s="30">
        <v>12723336</v>
      </c>
      <c r="E31" s="31">
        <v>0</v>
      </c>
      <c r="F31" s="31">
        <v>0</v>
      </c>
      <c r="G31" s="31">
        <v>0</v>
      </c>
      <c r="H31" s="31">
        <v>0</v>
      </c>
      <c r="I31" s="31">
        <v>0</v>
      </c>
      <c r="J31" s="31">
        <v>0</v>
      </c>
      <c r="K31" s="31">
        <v>0</v>
      </c>
      <c r="L31" s="31">
        <v>0</v>
      </c>
      <c r="M31" s="31">
        <v>0</v>
      </c>
      <c r="N31" s="30">
        <v>81649108</v>
      </c>
      <c r="O31" s="30">
        <v>5905</v>
      </c>
      <c r="P31" s="30">
        <v>12723336</v>
      </c>
      <c r="Q31" s="31">
        <v>0</v>
      </c>
      <c r="R31" s="31">
        <v>0</v>
      </c>
      <c r="S31" s="31">
        <v>0</v>
      </c>
    </row>
    <row r="32" spans="1:19" ht="15" customHeight="1" x14ac:dyDescent="0.3">
      <c r="A32" s="6" t="s">
        <v>58</v>
      </c>
      <c r="B32" s="30">
        <v>63171307</v>
      </c>
      <c r="C32" s="30">
        <v>43822</v>
      </c>
      <c r="D32" s="30">
        <v>41867038</v>
      </c>
      <c r="E32" s="31">
        <v>0</v>
      </c>
      <c r="F32" s="31">
        <v>0</v>
      </c>
      <c r="G32" s="31">
        <v>0</v>
      </c>
      <c r="H32" s="31">
        <v>0</v>
      </c>
      <c r="I32" s="31">
        <v>0</v>
      </c>
      <c r="J32" s="31">
        <v>0</v>
      </c>
      <c r="K32" s="31">
        <v>0</v>
      </c>
      <c r="L32" s="31">
        <v>0</v>
      </c>
      <c r="M32" s="31">
        <v>0</v>
      </c>
      <c r="N32" s="30">
        <v>63171307</v>
      </c>
      <c r="O32" s="30">
        <v>43822</v>
      </c>
      <c r="P32" s="30">
        <v>41867038</v>
      </c>
      <c r="Q32" s="31">
        <v>0</v>
      </c>
      <c r="R32" s="31">
        <v>0</v>
      </c>
      <c r="S32" s="31">
        <v>0</v>
      </c>
    </row>
    <row r="33" spans="1:19" ht="15" customHeight="1" x14ac:dyDescent="0.3">
      <c r="A33" s="6" t="s">
        <v>59</v>
      </c>
      <c r="B33" s="30">
        <v>12756788</v>
      </c>
      <c r="C33" s="30">
        <v>838</v>
      </c>
      <c r="D33" s="30">
        <v>2910031</v>
      </c>
      <c r="E33" s="31">
        <v>0</v>
      </c>
      <c r="F33" s="31">
        <v>0</v>
      </c>
      <c r="G33" s="31">
        <v>0</v>
      </c>
      <c r="H33" s="31">
        <v>0</v>
      </c>
      <c r="I33" s="31">
        <v>0</v>
      </c>
      <c r="J33" s="31">
        <v>0</v>
      </c>
      <c r="K33" s="31">
        <v>0</v>
      </c>
      <c r="L33" s="31">
        <v>0</v>
      </c>
      <c r="M33" s="31">
        <v>0</v>
      </c>
      <c r="N33" s="30">
        <v>12756788</v>
      </c>
      <c r="O33" s="30">
        <v>838</v>
      </c>
      <c r="P33" s="30">
        <v>2910031</v>
      </c>
      <c r="Q33" s="31">
        <v>0</v>
      </c>
      <c r="R33" s="31">
        <v>0</v>
      </c>
      <c r="S33" s="31">
        <v>0</v>
      </c>
    </row>
    <row r="34" spans="1:19" ht="15" customHeight="1" x14ac:dyDescent="0.3">
      <c r="A34" s="6" t="s">
        <v>60</v>
      </c>
      <c r="B34" s="30">
        <v>46404086</v>
      </c>
      <c r="C34" s="30">
        <v>5339</v>
      </c>
      <c r="D34" s="30">
        <v>12543348</v>
      </c>
      <c r="E34" s="31">
        <v>0</v>
      </c>
      <c r="F34" s="31">
        <v>0</v>
      </c>
      <c r="G34" s="31">
        <v>0</v>
      </c>
      <c r="H34" s="31">
        <v>0</v>
      </c>
      <c r="I34" s="31">
        <v>0</v>
      </c>
      <c r="J34" s="31">
        <v>0</v>
      </c>
      <c r="K34" s="31">
        <v>0</v>
      </c>
      <c r="L34" s="31">
        <v>0</v>
      </c>
      <c r="M34" s="31">
        <v>0</v>
      </c>
      <c r="N34" s="30">
        <v>46404086</v>
      </c>
      <c r="O34" s="30">
        <v>5339</v>
      </c>
      <c r="P34" s="30">
        <v>12543348</v>
      </c>
      <c r="Q34" s="31">
        <v>0</v>
      </c>
      <c r="R34" s="31">
        <v>0</v>
      </c>
      <c r="S34" s="31">
        <v>0</v>
      </c>
    </row>
    <row r="35" spans="1:19" ht="15" customHeight="1" x14ac:dyDescent="0.3">
      <c r="A35" s="6"/>
      <c r="B35" s="30"/>
      <c r="C35" s="30"/>
      <c r="D35" s="30"/>
      <c r="E35" s="31"/>
      <c r="F35" s="31"/>
      <c r="G35" s="31"/>
      <c r="H35" s="30"/>
      <c r="I35" s="30"/>
      <c r="J35" s="30"/>
      <c r="K35" s="30"/>
      <c r="L35" s="30"/>
      <c r="M35" s="30"/>
      <c r="N35" s="30"/>
      <c r="O35" s="30"/>
      <c r="P35" s="30"/>
      <c r="Q35" s="31"/>
      <c r="R35" s="31"/>
      <c r="S35" s="31"/>
    </row>
    <row r="36" spans="1:19" ht="15" customHeight="1" x14ac:dyDescent="0.3">
      <c r="A36" s="11" t="s">
        <v>61</v>
      </c>
      <c r="B36" s="28">
        <v>13474071</v>
      </c>
      <c r="C36" s="28">
        <v>33</v>
      </c>
      <c r="D36" s="28">
        <v>2801477</v>
      </c>
      <c r="E36" s="32">
        <v>0</v>
      </c>
      <c r="F36" s="32">
        <v>0</v>
      </c>
      <c r="G36" s="32">
        <v>0</v>
      </c>
      <c r="H36" s="32">
        <v>0</v>
      </c>
      <c r="I36" s="32">
        <v>0</v>
      </c>
      <c r="J36" s="32">
        <v>0</v>
      </c>
      <c r="K36" s="32">
        <v>0</v>
      </c>
      <c r="L36" s="32">
        <v>0</v>
      </c>
      <c r="M36" s="32">
        <v>0</v>
      </c>
      <c r="N36" s="28">
        <v>13474071</v>
      </c>
      <c r="O36" s="28">
        <v>33</v>
      </c>
      <c r="P36" s="28">
        <v>2801477</v>
      </c>
      <c r="Q36" s="31">
        <v>0</v>
      </c>
      <c r="R36" s="31">
        <v>0</v>
      </c>
      <c r="S36" s="32">
        <v>0</v>
      </c>
    </row>
    <row r="37" spans="1:19" ht="13.5" thickBot="1" x14ac:dyDescent="0.35">
      <c r="A37" s="13"/>
      <c r="B37" s="35"/>
      <c r="C37" s="35"/>
      <c r="D37" s="35"/>
      <c r="E37" s="35"/>
      <c r="F37" s="35"/>
      <c r="G37" s="35"/>
      <c r="H37" s="35"/>
      <c r="I37" s="35"/>
      <c r="J37" s="35"/>
      <c r="K37" s="35"/>
      <c r="L37" s="35"/>
      <c r="M37" s="35"/>
      <c r="N37" s="35"/>
      <c r="O37" s="35"/>
      <c r="P37" s="35"/>
      <c r="Q37" s="35"/>
      <c r="R37" s="35"/>
      <c r="S37" s="35"/>
    </row>
    <row r="38" spans="1:19" ht="14.5" x14ac:dyDescent="0.35">
      <c r="A38" s="36" t="s">
        <v>62</v>
      </c>
      <c r="B38" s="37"/>
      <c r="C38" s="37"/>
      <c r="D38" s="37"/>
      <c r="E38" s="37"/>
      <c r="F38" s="37"/>
      <c r="G38" s="37"/>
      <c r="H38" s="37"/>
      <c r="I38" s="37"/>
      <c r="J38" s="37"/>
      <c r="K38" s="37"/>
      <c r="L38" s="37"/>
      <c r="M38" s="37"/>
      <c r="N38" s="37"/>
      <c r="O38" s="37"/>
      <c r="P38" s="37"/>
      <c r="Q38" s="37"/>
      <c r="R38" s="37"/>
    </row>
    <row r="39" spans="1:19" ht="14.5" x14ac:dyDescent="0.35">
      <c r="A39" s="36" t="s">
        <v>63</v>
      </c>
      <c r="B39" s="37"/>
      <c r="C39" s="37"/>
      <c r="D39" s="37"/>
      <c r="E39" s="37"/>
      <c r="F39" s="37"/>
      <c r="G39" s="37"/>
      <c r="H39" s="37"/>
      <c r="I39" s="37"/>
      <c r="J39" s="37"/>
      <c r="K39" s="37"/>
      <c r="L39" s="37"/>
      <c r="M39" s="37"/>
      <c r="N39" s="37"/>
      <c r="O39" s="37"/>
      <c r="P39" s="37"/>
      <c r="Q39" s="37"/>
      <c r="R39" s="37"/>
    </row>
    <row r="40" spans="1:19" ht="14.5" x14ac:dyDescent="0.35">
      <c r="A40" s="38" t="s">
        <v>30</v>
      </c>
      <c r="B40" s="37"/>
      <c r="C40" s="37"/>
      <c r="D40" s="37"/>
      <c r="E40" s="37"/>
      <c r="F40" s="37"/>
      <c r="G40" s="37"/>
      <c r="H40" s="37"/>
      <c r="I40" s="37"/>
      <c r="J40" s="37"/>
      <c r="K40" s="37"/>
      <c r="L40" s="37"/>
      <c r="M40" s="37"/>
      <c r="N40" s="37"/>
      <c r="O40" s="37"/>
      <c r="P40" s="37"/>
      <c r="Q40" s="37"/>
      <c r="R40" s="37"/>
    </row>
    <row r="41" spans="1:19" x14ac:dyDescent="0.3">
      <c r="B41" s="37"/>
      <c r="C41" s="37"/>
      <c r="D41" s="37"/>
      <c r="E41" s="37"/>
      <c r="F41" s="37"/>
      <c r="G41" s="37"/>
      <c r="H41" s="37"/>
      <c r="I41" s="37"/>
      <c r="J41" s="37"/>
      <c r="K41" s="37"/>
      <c r="L41" s="37"/>
      <c r="M41" s="37"/>
      <c r="N41" s="37"/>
      <c r="O41" s="37"/>
      <c r="P41" s="37"/>
      <c r="Q41" s="37"/>
      <c r="R41" s="37"/>
    </row>
    <row r="42" spans="1:19" x14ac:dyDescent="0.3">
      <c r="B42" s="37"/>
      <c r="C42" s="37"/>
      <c r="D42" s="37"/>
      <c r="E42" s="37"/>
      <c r="F42" s="37"/>
      <c r="G42" s="37"/>
      <c r="H42" s="37"/>
      <c r="I42" s="37"/>
      <c r="J42" s="37"/>
      <c r="K42" s="37"/>
      <c r="L42" s="37"/>
      <c r="M42" s="37"/>
      <c r="N42" s="37"/>
      <c r="O42" s="37"/>
      <c r="P42" s="37"/>
      <c r="Q42" s="37"/>
      <c r="R42" s="37"/>
    </row>
    <row r="43" spans="1:19" x14ac:dyDescent="0.3">
      <c r="B43" s="37"/>
      <c r="C43" s="37"/>
      <c r="D43" s="37"/>
      <c r="E43" s="37"/>
      <c r="F43" s="37"/>
      <c r="G43" s="37"/>
      <c r="H43" s="37"/>
      <c r="I43" s="37"/>
      <c r="J43" s="37"/>
      <c r="K43" s="37"/>
      <c r="L43" s="37"/>
      <c r="M43" s="37"/>
      <c r="N43" s="37"/>
      <c r="O43" s="37"/>
      <c r="P43" s="37"/>
      <c r="Q43" s="37"/>
      <c r="R43" s="37"/>
    </row>
    <row r="44" spans="1:19" x14ac:dyDescent="0.3">
      <c r="B44" s="37"/>
      <c r="C44" s="37"/>
      <c r="D44" s="37"/>
      <c r="E44" s="37"/>
      <c r="F44" s="37"/>
      <c r="G44" s="37"/>
      <c r="H44" s="37"/>
      <c r="I44" s="37"/>
      <c r="J44" s="37"/>
      <c r="K44" s="37"/>
      <c r="L44" s="37"/>
      <c r="M44" s="37"/>
      <c r="N44" s="37"/>
      <c r="O44" s="37"/>
      <c r="P44" s="37"/>
      <c r="Q44" s="37"/>
      <c r="R44" s="37"/>
    </row>
    <row r="45" spans="1:19" x14ac:dyDescent="0.3">
      <c r="B45" s="37"/>
      <c r="C45" s="37"/>
      <c r="D45" s="37"/>
      <c r="E45" s="37"/>
      <c r="F45" s="37"/>
      <c r="G45" s="37"/>
      <c r="H45" s="37"/>
      <c r="I45" s="37"/>
      <c r="J45" s="37"/>
      <c r="K45" s="37"/>
      <c r="L45" s="37"/>
      <c r="M45" s="37"/>
      <c r="N45" s="37"/>
      <c r="O45" s="37"/>
      <c r="P45" s="37"/>
      <c r="Q45" s="37"/>
      <c r="R45" s="37"/>
    </row>
    <row r="46" spans="1:19" x14ac:dyDescent="0.3">
      <c r="B46" s="37"/>
      <c r="C46" s="37"/>
      <c r="D46" s="37"/>
      <c r="E46" s="37"/>
      <c r="F46" s="37"/>
      <c r="G46" s="37"/>
      <c r="H46" s="37"/>
      <c r="I46" s="37"/>
      <c r="J46" s="37"/>
      <c r="K46" s="37"/>
      <c r="L46" s="37"/>
      <c r="M46" s="37"/>
      <c r="N46" s="37"/>
      <c r="O46" s="37"/>
      <c r="P46" s="37"/>
      <c r="Q46" s="37"/>
      <c r="R46" s="37"/>
    </row>
    <row r="47" spans="1:19" x14ac:dyDescent="0.3">
      <c r="B47" s="37"/>
      <c r="C47" s="37"/>
      <c r="D47" s="37"/>
      <c r="E47" s="37"/>
      <c r="F47" s="37"/>
      <c r="G47" s="37"/>
      <c r="H47" s="37"/>
      <c r="I47" s="37"/>
      <c r="J47" s="37"/>
      <c r="K47" s="37"/>
      <c r="L47" s="37"/>
      <c r="M47" s="37"/>
      <c r="N47" s="37"/>
      <c r="O47" s="37"/>
      <c r="P47" s="37"/>
      <c r="Q47" s="37"/>
      <c r="R47" s="37"/>
    </row>
    <row r="48" spans="1:19" x14ac:dyDescent="0.3">
      <c r="B48" s="37"/>
      <c r="C48" s="37"/>
      <c r="D48" s="37"/>
      <c r="E48" s="37"/>
      <c r="F48" s="37"/>
      <c r="G48" s="37"/>
      <c r="H48" s="37"/>
      <c r="I48" s="37"/>
      <c r="J48" s="37"/>
      <c r="K48" s="37"/>
      <c r="L48" s="37"/>
      <c r="M48" s="37"/>
      <c r="N48" s="37"/>
      <c r="O48" s="37"/>
      <c r="P48" s="37"/>
      <c r="Q48" s="37"/>
      <c r="R48" s="37"/>
    </row>
    <row r="49" spans="2:18" x14ac:dyDescent="0.3">
      <c r="B49" s="37"/>
      <c r="C49" s="37"/>
      <c r="D49" s="37"/>
      <c r="E49" s="37"/>
      <c r="F49" s="37"/>
      <c r="G49" s="37"/>
      <c r="H49" s="37"/>
      <c r="I49" s="37"/>
      <c r="J49" s="37"/>
      <c r="K49" s="37"/>
      <c r="L49" s="37"/>
      <c r="M49" s="37"/>
      <c r="N49" s="37"/>
      <c r="O49" s="37"/>
      <c r="P49" s="37"/>
      <c r="Q49" s="37"/>
      <c r="R49" s="37"/>
    </row>
    <row r="50" spans="2:18" x14ac:dyDescent="0.3">
      <c r="B50" s="37"/>
      <c r="C50" s="37"/>
      <c r="D50" s="37"/>
      <c r="E50" s="37"/>
      <c r="F50" s="37"/>
      <c r="G50" s="37"/>
      <c r="H50" s="37"/>
      <c r="I50" s="37"/>
      <c r="J50" s="37"/>
      <c r="K50" s="37"/>
      <c r="L50" s="37"/>
      <c r="M50" s="37"/>
      <c r="N50" s="37"/>
      <c r="O50" s="37"/>
      <c r="P50" s="37"/>
      <c r="Q50" s="37"/>
      <c r="R50" s="37"/>
    </row>
    <row r="51" spans="2:18" x14ac:dyDescent="0.3">
      <c r="B51" s="37"/>
      <c r="C51" s="37"/>
      <c r="D51" s="37"/>
      <c r="E51" s="37"/>
      <c r="F51" s="37"/>
      <c r="G51" s="37"/>
      <c r="H51" s="37"/>
      <c r="I51" s="37"/>
      <c r="J51" s="37"/>
      <c r="K51" s="37"/>
      <c r="L51" s="37"/>
      <c r="M51" s="37"/>
      <c r="N51" s="37"/>
      <c r="O51" s="37"/>
      <c r="P51" s="37"/>
      <c r="Q51" s="37"/>
      <c r="R51" s="37"/>
    </row>
    <row r="52" spans="2:18" x14ac:dyDescent="0.3">
      <c r="B52" s="37"/>
      <c r="C52" s="37"/>
      <c r="D52" s="37"/>
      <c r="E52" s="37"/>
      <c r="F52" s="37"/>
      <c r="G52" s="37"/>
      <c r="H52" s="37"/>
      <c r="I52" s="37"/>
      <c r="J52" s="37"/>
      <c r="K52" s="37"/>
      <c r="L52" s="37"/>
      <c r="M52" s="37"/>
      <c r="N52" s="37"/>
      <c r="O52" s="37"/>
      <c r="P52" s="37"/>
      <c r="Q52" s="37"/>
      <c r="R52" s="37"/>
    </row>
    <row r="53" spans="2:18" x14ac:dyDescent="0.3">
      <c r="B53" s="37"/>
      <c r="C53" s="37"/>
      <c r="D53" s="37"/>
      <c r="E53" s="37"/>
      <c r="F53" s="37"/>
      <c r="G53" s="37"/>
      <c r="H53" s="37"/>
      <c r="I53" s="37"/>
      <c r="J53" s="37"/>
      <c r="K53" s="37"/>
      <c r="L53" s="37"/>
      <c r="M53" s="37"/>
      <c r="N53" s="37"/>
      <c r="O53" s="37"/>
      <c r="P53" s="37"/>
      <c r="Q53" s="37"/>
      <c r="R53" s="37"/>
    </row>
    <row r="54" spans="2:18" x14ac:dyDescent="0.3">
      <c r="B54" s="37"/>
      <c r="C54" s="37"/>
      <c r="D54" s="37"/>
      <c r="E54" s="37"/>
      <c r="F54" s="37"/>
      <c r="G54" s="37"/>
      <c r="H54" s="37"/>
      <c r="I54" s="37"/>
      <c r="J54" s="37"/>
      <c r="K54" s="37"/>
      <c r="L54" s="37"/>
      <c r="M54" s="37"/>
      <c r="N54" s="37"/>
      <c r="O54" s="37"/>
      <c r="P54" s="37"/>
      <c r="Q54" s="37"/>
      <c r="R54" s="37"/>
    </row>
    <row r="55" spans="2:18" x14ac:dyDescent="0.3">
      <c r="B55" s="37"/>
      <c r="C55" s="37"/>
      <c r="D55" s="37"/>
      <c r="E55" s="37"/>
      <c r="F55" s="37"/>
      <c r="G55" s="37"/>
      <c r="H55" s="37"/>
      <c r="I55" s="37"/>
      <c r="J55" s="37"/>
      <c r="K55" s="37"/>
      <c r="L55" s="37"/>
      <c r="M55" s="37"/>
      <c r="N55" s="37"/>
      <c r="O55" s="37"/>
      <c r="P55" s="37"/>
      <c r="Q55" s="37"/>
      <c r="R55" s="37"/>
    </row>
    <row r="56" spans="2:18" x14ac:dyDescent="0.3">
      <c r="B56" s="37"/>
      <c r="C56" s="37"/>
      <c r="D56" s="37"/>
      <c r="E56" s="37"/>
      <c r="F56" s="37"/>
      <c r="G56" s="37"/>
      <c r="H56" s="37"/>
      <c r="I56" s="37"/>
      <c r="J56" s="37"/>
      <c r="K56" s="37"/>
      <c r="L56" s="37"/>
      <c r="M56" s="37"/>
      <c r="N56" s="37"/>
      <c r="O56" s="37"/>
      <c r="P56" s="37"/>
      <c r="Q56" s="37"/>
      <c r="R56" s="37"/>
    </row>
    <row r="57" spans="2:18" x14ac:dyDescent="0.3">
      <c r="B57" s="37"/>
      <c r="C57" s="37"/>
      <c r="D57" s="37"/>
      <c r="E57" s="37"/>
      <c r="F57" s="37"/>
      <c r="G57" s="37"/>
      <c r="H57" s="37"/>
      <c r="I57" s="37"/>
      <c r="J57" s="37"/>
      <c r="K57" s="37"/>
      <c r="L57" s="37"/>
      <c r="M57" s="37"/>
      <c r="N57" s="37"/>
      <c r="O57" s="37"/>
      <c r="P57" s="37"/>
      <c r="Q57" s="37"/>
      <c r="R57" s="37"/>
    </row>
    <row r="58" spans="2:18" x14ac:dyDescent="0.3">
      <c r="B58" s="37"/>
      <c r="C58" s="37"/>
      <c r="D58" s="37"/>
      <c r="E58" s="37"/>
      <c r="F58" s="37"/>
      <c r="G58" s="37"/>
      <c r="H58" s="37"/>
      <c r="I58" s="37"/>
      <c r="J58" s="37"/>
      <c r="K58" s="37"/>
      <c r="L58" s="37"/>
      <c r="M58" s="37"/>
      <c r="N58" s="37"/>
      <c r="O58" s="37"/>
      <c r="P58" s="37"/>
      <c r="Q58" s="37"/>
      <c r="R58" s="37"/>
    </row>
    <row r="59" spans="2:18" x14ac:dyDescent="0.3">
      <c r="B59" s="37"/>
      <c r="C59" s="37"/>
      <c r="D59" s="37"/>
      <c r="E59" s="37"/>
      <c r="F59" s="37"/>
      <c r="G59" s="37"/>
      <c r="H59" s="37"/>
      <c r="I59" s="37"/>
      <c r="J59" s="37"/>
      <c r="K59" s="37"/>
      <c r="L59" s="37"/>
      <c r="M59" s="37"/>
      <c r="N59" s="37"/>
      <c r="O59" s="37"/>
      <c r="P59" s="37"/>
      <c r="Q59" s="37"/>
      <c r="R59" s="37"/>
    </row>
  </sheetData>
  <mergeCells count="19">
    <mergeCell ref="R1:S1"/>
    <mergeCell ref="A3:S3"/>
    <mergeCell ref="A4:S4"/>
    <mergeCell ref="A5:S5"/>
    <mergeCell ref="A6:S6"/>
    <mergeCell ref="B9:G9"/>
    <mergeCell ref="H9:M9"/>
    <mergeCell ref="N9:S9"/>
    <mergeCell ref="B10:B11"/>
    <mergeCell ref="C10:D10"/>
    <mergeCell ref="E10:E11"/>
    <mergeCell ref="F10:G10"/>
    <mergeCell ref="H10:H11"/>
    <mergeCell ref="K10:K11"/>
    <mergeCell ref="L10:M10"/>
    <mergeCell ref="O10:P10"/>
    <mergeCell ref="Q10:Q11"/>
    <mergeCell ref="R10:S10"/>
    <mergeCell ref="I10:J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9"/>
  <sheetViews>
    <sheetView topLeftCell="H5" workbookViewId="0">
      <selection activeCell="B9" sqref="B9:G11"/>
    </sheetView>
  </sheetViews>
  <sheetFormatPr baseColWidth="10" defaultColWidth="16" defaultRowHeight="13" x14ac:dyDescent="0.3"/>
  <cols>
    <col min="1" max="1" width="45.26953125" style="1" customWidth="1"/>
    <col min="2" max="3" width="16" style="1"/>
    <col min="4" max="13" width="16.1796875" style="1" bestFit="1" customWidth="1"/>
    <col min="14" max="14" width="17" style="1" bestFit="1" customWidth="1"/>
    <col min="15" max="15" width="16.1796875" style="1" bestFit="1" customWidth="1"/>
    <col min="16" max="16" width="16.26953125" style="1" bestFit="1" customWidth="1"/>
    <col min="17" max="19" width="16.1796875" style="1" bestFit="1" customWidth="1"/>
    <col min="20" max="20" width="2.1796875" style="1" customWidth="1"/>
    <col min="21" max="256" width="16" style="1"/>
    <col min="257" max="257" width="45.26953125" style="1" customWidth="1"/>
    <col min="258" max="259" width="16" style="1"/>
    <col min="260" max="269" width="16.1796875" style="1" bestFit="1" customWidth="1"/>
    <col min="270" max="270" width="17" style="1" bestFit="1" customWidth="1"/>
    <col min="271" max="271" width="16.1796875" style="1" bestFit="1" customWidth="1"/>
    <col min="272" max="272" width="16.26953125" style="1" bestFit="1" customWidth="1"/>
    <col min="273" max="275" width="16.1796875" style="1" bestFit="1" customWidth="1"/>
    <col min="276" max="276" width="2.1796875" style="1" customWidth="1"/>
    <col min="277" max="512" width="16" style="1"/>
    <col min="513" max="513" width="45.26953125" style="1" customWidth="1"/>
    <col min="514" max="515" width="16" style="1"/>
    <col min="516" max="525" width="16.1796875" style="1" bestFit="1" customWidth="1"/>
    <col min="526" max="526" width="17" style="1" bestFit="1" customWidth="1"/>
    <col min="527" max="527" width="16.1796875" style="1" bestFit="1" customWidth="1"/>
    <col min="528" max="528" width="16.26953125" style="1" bestFit="1" customWidth="1"/>
    <col min="529" max="531" width="16.1796875" style="1" bestFit="1" customWidth="1"/>
    <col min="532" max="532" width="2.1796875" style="1" customWidth="1"/>
    <col min="533" max="768" width="16" style="1"/>
    <col min="769" max="769" width="45.26953125" style="1" customWidth="1"/>
    <col min="770" max="771" width="16" style="1"/>
    <col min="772" max="781" width="16.1796875" style="1" bestFit="1" customWidth="1"/>
    <col min="782" max="782" width="17" style="1" bestFit="1" customWidth="1"/>
    <col min="783" max="783" width="16.1796875" style="1" bestFit="1" customWidth="1"/>
    <col min="784" max="784" width="16.26953125" style="1" bestFit="1" customWidth="1"/>
    <col min="785" max="787" width="16.1796875" style="1" bestFit="1" customWidth="1"/>
    <col min="788" max="788" width="2.1796875" style="1" customWidth="1"/>
    <col min="789" max="1024" width="16" style="1"/>
    <col min="1025" max="1025" width="45.26953125" style="1" customWidth="1"/>
    <col min="1026" max="1027" width="16" style="1"/>
    <col min="1028" max="1037" width="16.1796875" style="1" bestFit="1" customWidth="1"/>
    <col min="1038" max="1038" width="17" style="1" bestFit="1" customWidth="1"/>
    <col min="1039" max="1039" width="16.1796875" style="1" bestFit="1" customWidth="1"/>
    <col min="1040" max="1040" width="16.26953125" style="1" bestFit="1" customWidth="1"/>
    <col min="1041" max="1043" width="16.1796875" style="1" bestFit="1" customWidth="1"/>
    <col min="1044" max="1044" width="2.1796875" style="1" customWidth="1"/>
    <col min="1045" max="1280" width="16" style="1"/>
    <col min="1281" max="1281" width="45.26953125" style="1" customWidth="1"/>
    <col min="1282" max="1283" width="16" style="1"/>
    <col min="1284" max="1293" width="16.1796875" style="1" bestFit="1" customWidth="1"/>
    <col min="1294" max="1294" width="17" style="1" bestFit="1" customWidth="1"/>
    <col min="1295" max="1295" width="16.1796875" style="1" bestFit="1" customWidth="1"/>
    <col min="1296" max="1296" width="16.26953125" style="1" bestFit="1" customWidth="1"/>
    <col min="1297" max="1299" width="16.1796875" style="1" bestFit="1" customWidth="1"/>
    <col min="1300" max="1300" width="2.1796875" style="1" customWidth="1"/>
    <col min="1301" max="1536" width="16" style="1"/>
    <col min="1537" max="1537" width="45.26953125" style="1" customWidth="1"/>
    <col min="1538" max="1539" width="16" style="1"/>
    <col min="1540" max="1549" width="16.1796875" style="1" bestFit="1" customWidth="1"/>
    <col min="1550" max="1550" width="17" style="1" bestFit="1" customWidth="1"/>
    <col min="1551" max="1551" width="16.1796875" style="1" bestFit="1" customWidth="1"/>
    <col min="1552" max="1552" width="16.26953125" style="1" bestFit="1" customWidth="1"/>
    <col min="1553" max="1555" width="16.1796875" style="1" bestFit="1" customWidth="1"/>
    <col min="1556" max="1556" width="2.1796875" style="1" customWidth="1"/>
    <col min="1557" max="1792" width="16" style="1"/>
    <col min="1793" max="1793" width="45.26953125" style="1" customWidth="1"/>
    <col min="1794" max="1795" width="16" style="1"/>
    <col min="1796" max="1805" width="16.1796875" style="1" bestFit="1" customWidth="1"/>
    <col min="1806" max="1806" width="17" style="1" bestFit="1" customWidth="1"/>
    <col min="1807" max="1807" width="16.1796875" style="1" bestFit="1" customWidth="1"/>
    <col min="1808" max="1808" width="16.26953125" style="1" bestFit="1" customWidth="1"/>
    <col min="1809" max="1811" width="16.1796875" style="1" bestFit="1" customWidth="1"/>
    <col min="1812" max="1812" width="2.1796875" style="1" customWidth="1"/>
    <col min="1813" max="2048" width="16" style="1"/>
    <col min="2049" max="2049" width="45.26953125" style="1" customWidth="1"/>
    <col min="2050" max="2051" width="16" style="1"/>
    <col min="2052" max="2061" width="16.1796875" style="1" bestFit="1" customWidth="1"/>
    <col min="2062" max="2062" width="17" style="1" bestFit="1" customWidth="1"/>
    <col min="2063" max="2063" width="16.1796875" style="1" bestFit="1" customWidth="1"/>
    <col min="2064" max="2064" width="16.26953125" style="1" bestFit="1" customWidth="1"/>
    <col min="2065" max="2067" width="16.1796875" style="1" bestFit="1" customWidth="1"/>
    <col min="2068" max="2068" width="2.1796875" style="1" customWidth="1"/>
    <col min="2069" max="2304" width="16" style="1"/>
    <col min="2305" max="2305" width="45.26953125" style="1" customWidth="1"/>
    <col min="2306" max="2307" width="16" style="1"/>
    <col min="2308" max="2317" width="16.1796875" style="1" bestFit="1" customWidth="1"/>
    <col min="2318" max="2318" width="17" style="1" bestFit="1" customWidth="1"/>
    <col min="2319" max="2319" width="16.1796875" style="1" bestFit="1" customWidth="1"/>
    <col min="2320" max="2320" width="16.26953125" style="1" bestFit="1" customWidth="1"/>
    <col min="2321" max="2323" width="16.1796875" style="1" bestFit="1" customWidth="1"/>
    <col min="2324" max="2324" width="2.1796875" style="1" customWidth="1"/>
    <col min="2325" max="2560" width="16" style="1"/>
    <col min="2561" max="2561" width="45.26953125" style="1" customWidth="1"/>
    <col min="2562" max="2563" width="16" style="1"/>
    <col min="2564" max="2573" width="16.1796875" style="1" bestFit="1" customWidth="1"/>
    <col min="2574" max="2574" width="17" style="1" bestFit="1" customWidth="1"/>
    <col min="2575" max="2575" width="16.1796875" style="1" bestFit="1" customWidth="1"/>
    <col min="2576" max="2576" width="16.26953125" style="1" bestFit="1" customWidth="1"/>
    <col min="2577" max="2579" width="16.1796875" style="1" bestFit="1" customWidth="1"/>
    <col min="2580" max="2580" width="2.1796875" style="1" customWidth="1"/>
    <col min="2581" max="2816" width="16" style="1"/>
    <col min="2817" max="2817" width="45.26953125" style="1" customWidth="1"/>
    <col min="2818" max="2819" width="16" style="1"/>
    <col min="2820" max="2829" width="16.1796875" style="1" bestFit="1" customWidth="1"/>
    <col min="2830" max="2830" width="17" style="1" bestFit="1" customWidth="1"/>
    <col min="2831" max="2831" width="16.1796875" style="1" bestFit="1" customWidth="1"/>
    <col min="2832" max="2832" width="16.26953125" style="1" bestFit="1" customWidth="1"/>
    <col min="2833" max="2835" width="16.1796875" style="1" bestFit="1" customWidth="1"/>
    <col min="2836" max="2836" width="2.1796875" style="1" customWidth="1"/>
    <col min="2837" max="3072" width="16" style="1"/>
    <col min="3073" max="3073" width="45.26953125" style="1" customWidth="1"/>
    <col min="3074" max="3075" width="16" style="1"/>
    <col min="3076" max="3085" width="16.1796875" style="1" bestFit="1" customWidth="1"/>
    <col min="3086" max="3086" width="17" style="1" bestFit="1" customWidth="1"/>
    <col min="3087" max="3087" width="16.1796875" style="1" bestFit="1" customWidth="1"/>
    <col min="3088" max="3088" width="16.26953125" style="1" bestFit="1" customWidth="1"/>
    <col min="3089" max="3091" width="16.1796875" style="1" bestFit="1" customWidth="1"/>
    <col min="3092" max="3092" width="2.1796875" style="1" customWidth="1"/>
    <col min="3093" max="3328" width="16" style="1"/>
    <col min="3329" max="3329" width="45.26953125" style="1" customWidth="1"/>
    <col min="3330" max="3331" width="16" style="1"/>
    <col min="3332" max="3341" width="16.1796875" style="1" bestFit="1" customWidth="1"/>
    <col min="3342" max="3342" width="17" style="1" bestFit="1" customWidth="1"/>
    <col min="3343" max="3343" width="16.1796875" style="1" bestFit="1" customWidth="1"/>
    <col min="3344" max="3344" width="16.26953125" style="1" bestFit="1" customWidth="1"/>
    <col min="3345" max="3347" width="16.1796875" style="1" bestFit="1" customWidth="1"/>
    <col min="3348" max="3348" width="2.1796875" style="1" customWidth="1"/>
    <col min="3349" max="3584" width="16" style="1"/>
    <col min="3585" max="3585" width="45.26953125" style="1" customWidth="1"/>
    <col min="3586" max="3587" width="16" style="1"/>
    <col min="3588" max="3597" width="16.1796875" style="1" bestFit="1" customWidth="1"/>
    <col min="3598" max="3598" width="17" style="1" bestFit="1" customWidth="1"/>
    <col min="3599" max="3599" width="16.1796875" style="1" bestFit="1" customWidth="1"/>
    <col min="3600" max="3600" width="16.26953125" style="1" bestFit="1" customWidth="1"/>
    <col min="3601" max="3603" width="16.1796875" style="1" bestFit="1" customWidth="1"/>
    <col min="3604" max="3604" width="2.1796875" style="1" customWidth="1"/>
    <col min="3605" max="3840" width="16" style="1"/>
    <col min="3841" max="3841" width="45.26953125" style="1" customWidth="1"/>
    <col min="3842" max="3843" width="16" style="1"/>
    <col min="3844" max="3853" width="16.1796875" style="1" bestFit="1" customWidth="1"/>
    <col min="3854" max="3854" width="17" style="1" bestFit="1" customWidth="1"/>
    <col min="3855" max="3855" width="16.1796875" style="1" bestFit="1" customWidth="1"/>
    <col min="3856" max="3856" width="16.26953125" style="1" bestFit="1" customWidth="1"/>
    <col min="3857" max="3859" width="16.1796875" style="1" bestFit="1" customWidth="1"/>
    <col min="3860" max="3860" width="2.1796875" style="1" customWidth="1"/>
    <col min="3861" max="4096" width="16" style="1"/>
    <col min="4097" max="4097" width="45.26953125" style="1" customWidth="1"/>
    <col min="4098" max="4099" width="16" style="1"/>
    <col min="4100" max="4109" width="16.1796875" style="1" bestFit="1" customWidth="1"/>
    <col min="4110" max="4110" width="17" style="1" bestFit="1" customWidth="1"/>
    <col min="4111" max="4111" width="16.1796875" style="1" bestFit="1" customWidth="1"/>
    <col min="4112" max="4112" width="16.26953125" style="1" bestFit="1" customWidth="1"/>
    <col min="4113" max="4115" width="16.1796875" style="1" bestFit="1" customWidth="1"/>
    <col min="4116" max="4116" width="2.1796875" style="1" customWidth="1"/>
    <col min="4117" max="4352" width="16" style="1"/>
    <col min="4353" max="4353" width="45.26953125" style="1" customWidth="1"/>
    <col min="4354" max="4355" width="16" style="1"/>
    <col min="4356" max="4365" width="16.1796875" style="1" bestFit="1" customWidth="1"/>
    <col min="4366" max="4366" width="17" style="1" bestFit="1" customWidth="1"/>
    <col min="4367" max="4367" width="16.1796875" style="1" bestFit="1" customWidth="1"/>
    <col min="4368" max="4368" width="16.26953125" style="1" bestFit="1" customWidth="1"/>
    <col min="4369" max="4371" width="16.1796875" style="1" bestFit="1" customWidth="1"/>
    <col min="4372" max="4372" width="2.1796875" style="1" customWidth="1"/>
    <col min="4373" max="4608" width="16" style="1"/>
    <col min="4609" max="4609" width="45.26953125" style="1" customWidth="1"/>
    <col min="4610" max="4611" width="16" style="1"/>
    <col min="4612" max="4621" width="16.1796875" style="1" bestFit="1" customWidth="1"/>
    <col min="4622" max="4622" width="17" style="1" bestFit="1" customWidth="1"/>
    <col min="4623" max="4623" width="16.1796875" style="1" bestFit="1" customWidth="1"/>
    <col min="4624" max="4624" width="16.26953125" style="1" bestFit="1" customWidth="1"/>
    <col min="4625" max="4627" width="16.1796875" style="1" bestFit="1" customWidth="1"/>
    <col min="4628" max="4628" width="2.1796875" style="1" customWidth="1"/>
    <col min="4629" max="4864" width="16" style="1"/>
    <col min="4865" max="4865" width="45.26953125" style="1" customWidth="1"/>
    <col min="4866" max="4867" width="16" style="1"/>
    <col min="4868" max="4877" width="16.1796875" style="1" bestFit="1" customWidth="1"/>
    <col min="4878" max="4878" width="17" style="1" bestFit="1" customWidth="1"/>
    <col min="4879" max="4879" width="16.1796875" style="1" bestFit="1" customWidth="1"/>
    <col min="4880" max="4880" width="16.26953125" style="1" bestFit="1" customWidth="1"/>
    <col min="4881" max="4883" width="16.1796875" style="1" bestFit="1" customWidth="1"/>
    <col min="4884" max="4884" width="2.1796875" style="1" customWidth="1"/>
    <col min="4885" max="5120" width="16" style="1"/>
    <col min="5121" max="5121" width="45.26953125" style="1" customWidth="1"/>
    <col min="5122" max="5123" width="16" style="1"/>
    <col min="5124" max="5133" width="16.1796875" style="1" bestFit="1" customWidth="1"/>
    <col min="5134" max="5134" width="17" style="1" bestFit="1" customWidth="1"/>
    <col min="5135" max="5135" width="16.1796875" style="1" bestFit="1" customWidth="1"/>
    <col min="5136" max="5136" width="16.26953125" style="1" bestFit="1" customWidth="1"/>
    <col min="5137" max="5139" width="16.1796875" style="1" bestFit="1" customWidth="1"/>
    <col min="5140" max="5140" width="2.1796875" style="1" customWidth="1"/>
    <col min="5141" max="5376" width="16" style="1"/>
    <col min="5377" max="5377" width="45.26953125" style="1" customWidth="1"/>
    <col min="5378" max="5379" width="16" style="1"/>
    <col min="5380" max="5389" width="16.1796875" style="1" bestFit="1" customWidth="1"/>
    <col min="5390" max="5390" width="17" style="1" bestFit="1" customWidth="1"/>
    <col min="5391" max="5391" width="16.1796875" style="1" bestFit="1" customWidth="1"/>
    <col min="5392" max="5392" width="16.26953125" style="1" bestFit="1" customWidth="1"/>
    <col min="5393" max="5395" width="16.1796875" style="1" bestFit="1" customWidth="1"/>
    <col min="5396" max="5396" width="2.1796875" style="1" customWidth="1"/>
    <col min="5397" max="5632" width="16" style="1"/>
    <col min="5633" max="5633" width="45.26953125" style="1" customWidth="1"/>
    <col min="5634" max="5635" width="16" style="1"/>
    <col min="5636" max="5645" width="16.1796875" style="1" bestFit="1" customWidth="1"/>
    <col min="5646" max="5646" width="17" style="1" bestFit="1" customWidth="1"/>
    <col min="5647" max="5647" width="16.1796875" style="1" bestFit="1" customWidth="1"/>
    <col min="5648" max="5648" width="16.26953125" style="1" bestFit="1" customWidth="1"/>
    <col min="5649" max="5651" width="16.1796875" style="1" bestFit="1" customWidth="1"/>
    <col min="5652" max="5652" width="2.1796875" style="1" customWidth="1"/>
    <col min="5653" max="5888" width="16" style="1"/>
    <col min="5889" max="5889" width="45.26953125" style="1" customWidth="1"/>
    <col min="5890" max="5891" width="16" style="1"/>
    <col min="5892" max="5901" width="16.1796875" style="1" bestFit="1" customWidth="1"/>
    <col min="5902" max="5902" width="17" style="1" bestFit="1" customWidth="1"/>
    <col min="5903" max="5903" width="16.1796875" style="1" bestFit="1" customWidth="1"/>
    <col min="5904" max="5904" width="16.26953125" style="1" bestFit="1" customWidth="1"/>
    <col min="5905" max="5907" width="16.1796875" style="1" bestFit="1" customWidth="1"/>
    <col min="5908" max="5908" width="2.1796875" style="1" customWidth="1"/>
    <col min="5909" max="6144" width="16" style="1"/>
    <col min="6145" max="6145" width="45.26953125" style="1" customWidth="1"/>
    <col min="6146" max="6147" width="16" style="1"/>
    <col min="6148" max="6157" width="16.1796875" style="1" bestFit="1" customWidth="1"/>
    <col min="6158" max="6158" width="17" style="1" bestFit="1" customWidth="1"/>
    <col min="6159" max="6159" width="16.1796875" style="1" bestFit="1" customWidth="1"/>
    <col min="6160" max="6160" width="16.26953125" style="1" bestFit="1" customWidth="1"/>
    <col min="6161" max="6163" width="16.1796875" style="1" bestFit="1" customWidth="1"/>
    <col min="6164" max="6164" width="2.1796875" style="1" customWidth="1"/>
    <col min="6165" max="6400" width="16" style="1"/>
    <col min="6401" max="6401" width="45.26953125" style="1" customWidth="1"/>
    <col min="6402" max="6403" width="16" style="1"/>
    <col min="6404" max="6413" width="16.1796875" style="1" bestFit="1" customWidth="1"/>
    <col min="6414" max="6414" width="17" style="1" bestFit="1" customWidth="1"/>
    <col min="6415" max="6415" width="16.1796875" style="1" bestFit="1" customWidth="1"/>
    <col min="6416" max="6416" width="16.26953125" style="1" bestFit="1" customWidth="1"/>
    <col min="6417" max="6419" width="16.1796875" style="1" bestFit="1" customWidth="1"/>
    <col min="6420" max="6420" width="2.1796875" style="1" customWidth="1"/>
    <col min="6421" max="6656" width="16" style="1"/>
    <col min="6657" max="6657" width="45.26953125" style="1" customWidth="1"/>
    <col min="6658" max="6659" width="16" style="1"/>
    <col min="6660" max="6669" width="16.1796875" style="1" bestFit="1" customWidth="1"/>
    <col min="6670" max="6670" width="17" style="1" bestFit="1" customWidth="1"/>
    <col min="6671" max="6671" width="16.1796875" style="1" bestFit="1" customWidth="1"/>
    <col min="6672" max="6672" width="16.26953125" style="1" bestFit="1" customWidth="1"/>
    <col min="6673" max="6675" width="16.1796875" style="1" bestFit="1" customWidth="1"/>
    <col min="6676" max="6676" width="2.1796875" style="1" customWidth="1"/>
    <col min="6677" max="6912" width="16" style="1"/>
    <col min="6913" max="6913" width="45.26953125" style="1" customWidth="1"/>
    <col min="6914" max="6915" width="16" style="1"/>
    <col min="6916" max="6925" width="16.1796875" style="1" bestFit="1" customWidth="1"/>
    <col min="6926" max="6926" width="17" style="1" bestFit="1" customWidth="1"/>
    <col min="6927" max="6927" width="16.1796875" style="1" bestFit="1" customWidth="1"/>
    <col min="6928" max="6928" width="16.26953125" style="1" bestFit="1" customWidth="1"/>
    <col min="6929" max="6931" width="16.1796875" style="1" bestFit="1" customWidth="1"/>
    <col min="6932" max="6932" width="2.1796875" style="1" customWidth="1"/>
    <col min="6933" max="7168" width="16" style="1"/>
    <col min="7169" max="7169" width="45.26953125" style="1" customWidth="1"/>
    <col min="7170" max="7171" width="16" style="1"/>
    <col min="7172" max="7181" width="16.1796875" style="1" bestFit="1" customWidth="1"/>
    <col min="7182" max="7182" width="17" style="1" bestFit="1" customWidth="1"/>
    <col min="7183" max="7183" width="16.1796875" style="1" bestFit="1" customWidth="1"/>
    <col min="7184" max="7184" width="16.26953125" style="1" bestFit="1" customWidth="1"/>
    <col min="7185" max="7187" width="16.1796875" style="1" bestFit="1" customWidth="1"/>
    <col min="7188" max="7188" width="2.1796875" style="1" customWidth="1"/>
    <col min="7189" max="7424" width="16" style="1"/>
    <col min="7425" max="7425" width="45.26953125" style="1" customWidth="1"/>
    <col min="7426" max="7427" width="16" style="1"/>
    <col min="7428" max="7437" width="16.1796875" style="1" bestFit="1" customWidth="1"/>
    <col min="7438" max="7438" width="17" style="1" bestFit="1" customWidth="1"/>
    <col min="7439" max="7439" width="16.1796875" style="1" bestFit="1" customWidth="1"/>
    <col min="7440" max="7440" width="16.26953125" style="1" bestFit="1" customWidth="1"/>
    <col min="7441" max="7443" width="16.1796875" style="1" bestFit="1" customWidth="1"/>
    <col min="7444" max="7444" width="2.1796875" style="1" customWidth="1"/>
    <col min="7445" max="7680" width="16" style="1"/>
    <col min="7681" max="7681" width="45.26953125" style="1" customWidth="1"/>
    <col min="7682" max="7683" width="16" style="1"/>
    <col min="7684" max="7693" width="16.1796875" style="1" bestFit="1" customWidth="1"/>
    <col min="7694" max="7694" width="17" style="1" bestFit="1" customWidth="1"/>
    <col min="7695" max="7695" width="16.1796875" style="1" bestFit="1" customWidth="1"/>
    <col min="7696" max="7696" width="16.26953125" style="1" bestFit="1" customWidth="1"/>
    <col min="7697" max="7699" width="16.1796875" style="1" bestFit="1" customWidth="1"/>
    <col min="7700" max="7700" width="2.1796875" style="1" customWidth="1"/>
    <col min="7701" max="7936" width="16" style="1"/>
    <col min="7937" max="7937" width="45.26953125" style="1" customWidth="1"/>
    <col min="7938" max="7939" width="16" style="1"/>
    <col min="7940" max="7949" width="16.1796875" style="1" bestFit="1" customWidth="1"/>
    <col min="7950" max="7950" width="17" style="1" bestFit="1" customWidth="1"/>
    <col min="7951" max="7951" width="16.1796875" style="1" bestFit="1" customWidth="1"/>
    <col min="7952" max="7952" width="16.26953125" style="1" bestFit="1" customWidth="1"/>
    <col min="7953" max="7955" width="16.1796875" style="1" bestFit="1" customWidth="1"/>
    <col min="7956" max="7956" width="2.1796875" style="1" customWidth="1"/>
    <col min="7957" max="8192" width="16" style="1"/>
    <col min="8193" max="8193" width="45.26953125" style="1" customWidth="1"/>
    <col min="8194" max="8195" width="16" style="1"/>
    <col min="8196" max="8205" width="16.1796875" style="1" bestFit="1" customWidth="1"/>
    <col min="8206" max="8206" width="17" style="1" bestFit="1" customWidth="1"/>
    <col min="8207" max="8207" width="16.1796875" style="1" bestFit="1" customWidth="1"/>
    <col min="8208" max="8208" width="16.26953125" style="1" bestFit="1" customWidth="1"/>
    <col min="8209" max="8211" width="16.1796875" style="1" bestFit="1" customWidth="1"/>
    <col min="8212" max="8212" width="2.1796875" style="1" customWidth="1"/>
    <col min="8213" max="8448" width="16" style="1"/>
    <col min="8449" max="8449" width="45.26953125" style="1" customWidth="1"/>
    <col min="8450" max="8451" width="16" style="1"/>
    <col min="8452" max="8461" width="16.1796875" style="1" bestFit="1" customWidth="1"/>
    <col min="8462" max="8462" width="17" style="1" bestFit="1" customWidth="1"/>
    <col min="8463" max="8463" width="16.1796875" style="1" bestFit="1" customWidth="1"/>
    <col min="8464" max="8464" width="16.26953125" style="1" bestFit="1" customWidth="1"/>
    <col min="8465" max="8467" width="16.1796875" style="1" bestFit="1" customWidth="1"/>
    <col min="8468" max="8468" width="2.1796875" style="1" customWidth="1"/>
    <col min="8469" max="8704" width="16" style="1"/>
    <col min="8705" max="8705" width="45.26953125" style="1" customWidth="1"/>
    <col min="8706" max="8707" width="16" style="1"/>
    <col min="8708" max="8717" width="16.1796875" style="1" bestFit="1" customWidth="1"/>
    <col min="8718" max="8718" width="17" style="1" bestFit="1" customWidth="1"/>
    <col min="8719" max="8719" width="16.1796875" style="1" bestFit="1" customWidth="1"/>
    <col min="8720" max="8720" width="16.26953125" style="1" bestFit="1" customWidth="1"/>
    <col min="8721" max="8723" width="16.1796875" style="1" bestFit="1" customWidth="1"/>
    <col min="8724" max="8724" width="2.1796875" style="1" customWidth="1"/>
    <col min="8725" max="8960" width="16" style="1"/>
    <col min="8961" max="8961" width="45.26953125" style="1" customWidth="1"/>
    <col min="8962" max="8963" width="16" style="1"/>
    <col min="8964" max="8973" width="16.1796875" style="1" bestFit="1" customWidth="1"/>
    <col min="8974" max="8974" width="17" style="1" bestFit="1" customWidth="1"/>
    <col min="8975" max="8975" width="16.1796875" style="1" bestFit="1" customWidth="1"/>
    <col min="8976" max="8976" width="16.26953125" style="1" bestFit="1" customWidth="1"/>
    <col min="8977" max="8979" width="16.1796875" style="1" bestFit="1" customWidth="1"/>
    <col min="8980" max="8980" width="2.1796875" style="1" customWidth="1"/>
    <col min="8981" max="9216" width="16" style="1"/>
    <col min="9217" max="9217" width="45.26953125" style="1" customWidth="1"/>
    <col min="9218" max="9219" width="16" style="1"/>
    <col min="9220" max="9229" width="16.1796875" style="1" bestFit="1" customWidth="1"/>
    <col min="9230" max="9230" width="17" style="1" bestFit="1" customWidth="1"/>
    <col min="9231" max="9231" width="16.1796875" style="1" bestFit="1" customWidth="1"/>
    <col min="9232" max="9232" width="16.26953125" style="1" bestFit="1" customWidth="1"/>
    <col min="9233" max="9235" width="16.1796875" style="1" bestFit="1" customWidth="1"/>
    <col min="9236" max="9236" width="2.1796875" style="1" customWidth="1"/>
    <col min="9237" max="9472" width="16" style="1"/>
    <col min="9473" max="9473" width="45.26953125" style="1" customWidth="1"/>
    <col min="9474" max="9475" width="16" style="1"/>
    <col min="9476" max="9485" width="16.1796875" style="1" bestFit="1" customWidth="1"/>
    <col min="9486" max="9486" width="17" style="1" bestFit="1" customWidth="1"/>
    <col min="9487" max="9487" width="16.1796875" style="1" bestFit="1" customWidth="1"/>
    <col min="9488" max="9488" width="16.26953125" style="1" bestFit="1" customWidth="1"/>
    <col min="9489" max="9491" width="16.1796875" style="1" bestFit="1" customWidth="1"/>
    <col min="9492" max="9492" width="2.1796875" style="1" customWidth="1"/>
    <col min="9493" max="9728" width="16" style="1"/>
    <col min="9729" max="9729" width="45.26953125" style="1" customWidth="1"/>
    <col min="9730" max="9731" width="16" style="1"/>
    <col min="9732" max="9741" width="16.1796875" style="1" bestFit="1" customWidth="1"/>
    <col min="9742" max="9742" width="17" style="1" bestFit="1" customWidth="1"/>
    <col min="9743" max="9743" width="16.1796875" style="1" bestFit="1" customWidth="1"/>
    <col min="9744" max="9744" width="16.26953125" style="1" bestFit="1" customWidth="1"/>
    <col min="9745" max="9747" width="16.1796875" style="1" bestFit="1" customWidth="1"/>
    <col min="9748" max="9748" width="2.1796875" style="1" customWidth="1"/>
    <col min="9749" max="9984" width="16" style="1"/>
    <col min="9985" max="9985" width="45.26953125" style="1" customWidth="1"/>
    <col min="9986" max="9987" width="16" style="1"/>
    <col min="9988" max="9997" width="16.1796875" style="1" bestFit="1" customWidth="1"/>
    <col min="9998" max="9998" width="17" style="1" bestFit="1" customWidth="1"/>
    <col min="9999" max="9999" width="16.1796875" style="1" bestFit="1" customWidth="1"/>
    <col min="10000" max="10000" width="16.26953125" style="1" bestFit="1" customWidth="1"/>
    <col min="10001" max="10003" width="16.1796875" style="1" bestFit="1" customWidth="1"/>
    <col min="10004" max="10004" width="2.1796875" style="1" customWidth="1"/>
    <col min="10005" max="10240" width="16" style="1"/>
    <col min="10241" max="10241" width="45.26953125" style="1" customWidth="1"/>
    <col min="10242" max="10243" width="16" style="1"/>
    <col min="10244" max="10253" width="16.1796875" style="1" bestFit="1" customWidth="1"/>
    <col min="10254" max="10254" width="17" style="1" bestFit="1" customWidth="1"/>
    <col min="10255" max="10255" width="16.1796875" style="1" bestFit="1" customWidth="1"/>
    <col min="10256" max="10256" width="16.26953125" style="1" bestFit="1" customWidth="1"/>
    <col min="10257" max="10259" width="16.1796875" style="1" bestFit="1" customWidth="1"/>
    <col min="10260" max="10260" width="2.1796875" style="1" customWidth="1"/>
    <col min="10261" max="10496" width="16" style="1"/>
    <col min="10497" max="10497" width="45.26953125" style="1" customWidth="1"/>
    <col min="10498" max="10499" width="16" style="1"/>
    <col min="10500" max="10509" width="16.1796875" style="1" bestFit="1" customWidth="1"/>
    <col min="10510" max="10510" width="17" style="1" bestFit="1" customWidth="1"/>
    <col min="10511" max="10511" width="16.1796875" style="1" bestFit="1" customWidth="1"/>
    <col min="10512" max="10512" width="16.26953125" style="1" bestFit="1" customWidth="1"/>
    <col min="10513" max="10515" width="16.1796875" style="1" bestFit="1" customWidth="1"/>
    <col min="10516" max="10516" width="2.1796875" style="1" customWidth="1"/>
    <col min="10517" max="10752" width="16" style="1"/>
    <col min="10753" max="10753" width="45.26953125" style="1" customWidth="1"/>
    <col min="10754" max="10755" width="16" style="1"/>
    <col min="10756" max="10765" width="16.1796875" style="1" bestFit="1" customWidth="1"/>
    <col min="10766" max="10766" width="17" style="1" bestFit="1" customWidth="1"/>
    <col min="10767" max="10767" width="16.1796875" style="1" bestFit="1" customWidth="1"/>
    <col min="10768" max="10768" width="16.26953125" style="1" bestFit="1" customWidth="1"/>
    <col min="10769" max="10771" width="16.1796875" style="1" bestFit="1" customWidth="1"/>
    <col min="10772" max="10772" width="2.1796875" style="1" customWidth="1"/>
    <col min="10773" max="11008" width="16" style="1"/>
    <col min="11009" max="11009" width="45.26953125" style="1" customWidth="1"/>
    <col min="11010" max="11011" width="16" style="1"/>
    <col min="11012" max="11021" width="16.1796875" style="1" bestFit="1" customWidth="1"/>
    <col min="11022" max="11022" width="17" style="1" bestFit="1" customWidth="1"/>
    <col min="11023" max="11023" width="16.1796875" style="1" bestFit="1" customWidth="1"/>
    <col min="11024" max="11024" width="16.26953125" style="1" bestFit="1" customWidth="1"/>
    <col min="11025" max="11027" width="16.1796875" style="1" bestFit="1" customWidth="1"/>
    <col min="11028" max="11028" width="2.1796875" style="1" customWidth="1"/>
    <col min="11029" max="11264" width="16" style="1"/>
    <col min="11265" max="11265" width="45.26953125" style="1" customWidth="1"/>
    <col min="11266" max="11267" width="16" style="1"/>
    <col min="11268" max="11277" width="16.1796875" style="1" bestFit="1" customWidth="1"/>
    <col min="11278" max="11278" width="17" style="1" bestFit="1" customWidth="1"/>
    <col min="11279" max="11279" width="16.1796875" style="1" bestFit="1" customWidth="1"/>
    <col min="11280" max="11280" width="16.26953125" style="1" bestFit="1" customWidth="1"/>
    <col min="11281" max="11283" width="16.1796875" style="1" bestFit="1" customWidth="1"/>
    <col min="11284" max="11284" width="2.1796875" style="1" customWidth="1"/>
    <col min="11285" max="11520" width="16" style="1"/>
    <col min="11521" max="11521" width="45.26953125" style="1" customWidth="1"/>
    <col min="11522" max="11523" width="16" style="1"/>
    <col min="11524" max="11533" width="16.1796875" style="1" bestFit="1" customWidth="1"/>
    <col min="11534" max="11534" width="17" style="1" bestFit="1" customWidth="1"/>
    <col min="11535" max="11535" width="16.1796875" style="1" bestFit="1" customWidth="1"/>
    <col min="11536" max="11536" width="16.26953125" style="1" bestFit="1" customWidth="1"/>
    <col min="11537" max="11539" width="16.1796875" style="1" bestFit="1" customWidth="1"/>
    <col min="11540" max="11540" width="2.1796875" style="1" customWidth="1"/>
    <col min="11541" max="11776" width="16" style="1"/>
    <col min="11777" max="11777" width="45.26953125" style="1" customWidth="1"/>
    <col min="11778" max="11779" width="16" style="1"/>
    <col min="11780" max="11789" width="16.1796875" style="1" bestFit="1" customWidth="1"/>
    <col min="11790" max="11790" width="17" style="1" bestFit="1" customWidth="1"/>
    <col min="11791" max="11791" width="16.1796875" style="1" bestFit="1" customWidth="1"/>
    <col min="11792" max="11792" width="16.26953125" style="1" bestFit="1" customWidth="1"/>
    <col min="11793" max="11795" width="16.1796875" style="1" bestFit="1" customWidth="1"/>
    <col min="11796" max="11796" width="2.1796875" style="1" customWidth="1"/>
    <col min="11797" max="12032" width="16" style="1"/>
    <col min="12033" max="12033" width="45.26953125" style="1" customWidth="1"/>
    <col min="12034" max="12035" width="16" style="1"/>
    <col min="12036" max="12045" width="16.1796875" style="1" bestFit="1" customWidth="1"/>
    <col min="12046" max="12046" width="17" style="1" bestFit="1" customWidth="1"/>
    <col min="12047" max="12047" width="16.1796875" style="1" bestFit="1" customWidth="1"/>
    <col min="12048" max="12048" width="16.26953125" style="1" bestFit="1" customWidth="1"/>
    <col min="12049" max="12051" width="16.1796875" style="1" bestFit="1" customWidth="1"/>
    <col min="12052" max="12052" width="2.1796875" style="1" customWidth="1"/>
    <col min="12053" max="12288" width="16" style="1"/>
    <col min="12289" max="12289" width="45.26953125" style="1" customWidth="1"/>
    <col min="12290" max="12291" width="16" style="1"/>
    <col min="12292" max="12301" width="16.1796875" style="1" bestFit="1" customWidth="1"/>
    <col min="12302" max="12302" width="17" style="1" bestFit="1" customWidth="1"/>
    <col min="12303" max="12303" width="16.1796875" style="1" bestFit="1" customWidth="1"/>
    <col min="12304" max="12304" width="16.26953125" style="1" bestFit="1" customWidth="1"/>
    <col min="12305" max="12307" width="16.1796875" style="1" bestFit="1" customWidth="1"/>
    <col min="12308" max="12308" width="2.1796875" style="1" customWidth="1"/>
    <col min="12309" max="12544" width="16" style="1"/>
    <col min="12545" max="12545" width="45.26953125" style="1" customWidth="1"/>
    <col min="12546" max="12547" width="16" style="1"/>
    <col min="12548" max="12557" width="16.1796875" style="1" bestFit="1" customWidth="1"/>
    <col min="12558" max="12558" width="17" style="1" bestFit="1" customWidth="1"/>
    <col min="12559" max="12559" width="16.1796875" style="1" bestFit="1" customWidth="1"/>
    <col min="12560" max="12560" width="16.26953125" style="1" bestFit="1" customWidth="1"/>
    <col min="12561" max="12563" width="16.1796875" style="1" bestFit="1" customWidth="1"/>
    <col min="12564" max="12564" width="2.1796875" style="1" customWidth="1"/>
    <col min="12565" max="12800" width="16" style="1"/>
    <col min="12801" max="12801" width="45.26953125" style="1" customWidth="1"/>
    <col min="12802" max="12803" width="16" style="1"/>
    <col min="12804" max="12813" width="16.1796875" style="1" bestFit="1" customWidth="1"/>
    <col min="12814" max="12814" width="17" style="1" bestFit="1" customWidth="1"/>
    <col min="12815" max="12815" width="16.1796875" style="1" bestFit="1" customWidth="1"/>
    <col min="12816" max="12816" width="16.26953125" style="1" bestFit="1" customWidth="1"/>
    <col min="12817" max="12819" width="16.1796875" style="1" bestFit="1" customWidth="1"/>
    <col min="12820" max="12820" width="2.1796875" style="1" customWidth="1"/>
    <col min="12821" max="13056" width="16" style="1"/>
    <col min="13057" max="13057" width="45.26953125" style="1" customWidth="1"/>
    <col min="13058" max="13059" width="16" style="1"/>
    <col min="13060" max="13069" width="16.1796875" style="1" bestFit="1" customWidth="1"/>
    <col min="13070" max="13070" width="17" style="1" bestFit="1" customWidth="1"/>
    <col min="13071" max="13071" width="16.1796875" style="1" bestFit="1" customWidth="1"/>
    <col min="13072" max="13072" width="16.26953125" style="1" bestFit="1" customWidth="1"/>
    <col min="13073" max="13075" width="16.1796875" style="1" bestFit="1" customWidth="1"/>
    <col min="13076" max="13076" width="2.1796875" style="1" customWidth="1"/>
    <col min="13077" max="13312" width="16" style="1"/>
    <col min="13313" max="13313" width="45.26953125" style="1" customWidth="1"/>
    <col min="13314" max="13315" width="16" style="1"/>
    <col min="13316" max="13325" width="16.1796875" style="1" bestFit="1" customWidth="1"/>
    <col min="13326" max="13326" width="17" style="1" bestFit="1" customWidth="1"/>
    <col min="13327" max="13327" width="16.1796875" style="1" bestFit="1" customWidth="1"/>
    <col min="13328" max="13328" width="16.26953125" style="1" bestFit="1" customWidth="1"/>
    <col min="13329" max="13331" width="16.1796875" style="1" bestFit="1" customWidth="1"/>
    <col min="13332" max="13332" width="2.1796875" style="1" customWidth="1"/>
    <col min="13333" max="13568" width="16" style="1"/>
    <col min="13569" max="13569" width="45.26953125" style="1" customWidth="1"/>
    <col min="13570" max="13571" width="16" style="1"/>
    <col min="13572" max="13581" width="16.1796875" style="1" bestFit="1" customWidth="1"/>
    <col min="13582" max="13582" width="17" style="1" bestFit="1" customWidth="1"/>
    <col min="13583" max="13583" width="16.1796875" style="1" bestFit="1" customWidth="1"/>
    <col min="13584" max="13584" width="16.26953125" style="1" bestFit="1" customWidth="1"/>
    <col min="13585" max="13587" width="16.1796875" style="1" bestFit="1" customWidth="1"/>
    <col min="13588" max="13588" width="2.1796875" style="1" customWidth="1"/>
    <col min="13589" max="13824" width="16" style="1"/>
    <col min="13825" max="13825" width="45.26953125" style="1" customWidth="1"/>
    <col min="13826" max="13827" width="16" style="1"/>
    <col min="13828" max="13837" width="16.1796875" style="1" bestFit="1" customWidth="1"/>
    <col min="13838" max="13838" width="17" style="1" bestFit="1" customWidth="1"/>
    <col min="13839" max="13839" width="16.1796875" style="1" bestFit="1" customWidth="1"/>
    <col min="13840" max="13840" width="16.26953125" style="1" bestFit="1" customWidth="1"/>
    <col min="13841" max="13843" width="16.1796875" style="1" bestFit="1" customWidth="1"/>
    <col min="13844" max="13844" width="2.1796875" style="1" customWidth="1"/>
    <col min="13845" max="14080" width="16" style="1"/>
    <col min="14081" max="14081" width="45.26953125" style="1" customWidth="1"/>
    <col min="14082" max="14083" width="16" style="1"/>
    <col min="14084" max="14093" width="16.1796875" style="1" bestFit="1" customWidth="1"/>
    <col min="14094" max="14094" width="17" style="1" bestFit="1" customWidth="1"/>
    <col min="14095" max="14095" width="16.1796875" style="1" bestFit="1" customWidth="1"/>
    <col min="14096" max="14096" width="16.26953125" style="1" bestFit="1" customWidth="1"/>
    <col min="14097" max="14099" width="16.1796875" style="1" bestFit="1" customWidth="1"/>
    <col min="14100" max="14100" width="2.1796875" style="1" customWidth="1"/>
    <col min="14101" max="14336" width="16" style="1"/>
    <col min="14337" max="14337" width="45.26953125" style="1" customWidth="1"/>
    <col min="14338" max="14339" width="16" style="1"/>
    <col min="14340" max="14349" width="16.1796875" style="1" bestFit="1" customWidth="1"/>
    <col min="14350" max="14350" width="17" style="1" bestFit="1" customWidth="1"/>
    <col min="14351" max="14351" width="16.1796875" style="1" bestFit="1" customWidth="1"/>
    <col min="14352" max="14352" width="16.26953125" style="1" bestFit="1" customWidth="1"/>
    <col min="14353" max="14355" width="16.1796875" style="1" bestFit="1" customWidth="1"/>
    <col min="14356" max="14356" width="2.1796875" style="1" customWidth="1"/>
    <col min="14357" max="14592" width="16" style="1"/>
    <col min="14593" max="14593" width="45.26953125" style="1" customWidth="1"/>
    <col min="14594" max="14595" width="16" style="1"/>
    <col min="14596" max="14605" width="16.1796875" style="1" bestFit="1" customWidth="1"/>
    <col min="14606" max="14606" width="17" style="1" bestFit="1" customWidth="1"/>
    <col min="14607" max="14607" width="16.1796875" style="1" bestFit="1" customWidth="1"/>
    <col min="14608" max="14608" width="16.26953125" style="1" bestFit="1" customWidth="1"/>
    <col min="14609" max="14611" width="16.1796875" style="1" bestFit="1" customWidth="1"/>
    <col min="14612" max="14612" width="2.1796875" style="1" customWidth="1"/>
    <col min="14613" max="14848" width="16" style="1"/>
    <col min="14849" max="14849" width="45.26953125" style="1" customWidth="1"/>
    <col min="14850" max="14851" width="16" style="1"/>
    <col min="14852" max="14861" width="16.1796875" style="1" bestFit="1" customWidth="1"/>
    <col min="14862" max="14862" width="17" style="1" bestFit="1" customWidth="1"/>
    <col min="14863" max="14863" width="16.1796875" style="1" bestFit="1" customWidth="1"/>
    <col min="14864" max="14864" width="16.26953125" style="1" bestFit="1" customWidth="1"/>
    <col min="14865" max="14867" width="16.1796875" style="1" bestFit="1" customWidth="1"/>
    <col min="14868" max="14868" width="2.1796875" style="1" customWidth="1"/>
    <col min="14869" max="15104" width="16" style="1"/>
    <col min="15105" max="15105" width="45.26953125" style="1" customWidth="1"/>
    <col min="15106" max="15107" width="16" style="1"/>
    <col min="15108" max="15117" width="16.1796875" style="1" bestFit="1" customWidth="1"/>
    <col min="15118" max="15118" width="17" style="1" bestFit="1" customWidth="1"/>
    <col min="15119" max="15119" width="16.1796875" style="1" bestFit="1" customWidth="1"/>
    <col min="15120" max="15120" width="16.26953125" style="1" bestFit="1" customWidth="1"/>
    <col min="15121" max="15123" width="16.1796875" style="1" bestFit="1" customWidth="1"/>
    <col min="15124" max="15124" width="2.1796875" style="1" customWidth="1"/>
    <col min="15125" max="15360" width="16" style="1"/>
    <col min="15361" max="15361" width="45.26953125" style="1" customWidth="1"/>
    <col min="15362" max="15363" width="16" style="1"/>
    <col min="15364" max="15373" width="16.1796875" style="1" bestFit="1" customWidth="1"/>
    <col min="15374" max="15374" width="17" style="1" bestFit="1" customWidth="1"/>
    <col min="15375" max="15375" width="16.1796875" style="1" bestFit="1" customWidth="1"/>
    <col min="15376" max="15376" width="16.26953125" style="1" bestFit="1" customWidth="1"/>
    <col min="15377" max="15379" width="16.1796875" style="1" bestFit="1" customWidth="1"/>
    <col min="15380" max="15380" width="2.1796875" style="1" customWidth="1"/>
    <col min="15381" max="15616" width="16" style="1"/>
    <col min="15617" max="15617" width="45.26953125" style="1" customWidth="1"/>
    <col min="15618" max="15619" width="16" style="1"/>
    <col min="15620" max="15629" width="16.1796875" style="1" bestFit="1" customWidth="1"/>
    <col min="15630" max="15630" width="17" style="1" bestFit="1" customWidth="1"/>
    <col min="15631" max="15631" width="16.1796875" style="1" bestFit="1" customWidth="1"/>
    <col min="15632" max="15632" width="16.26953125" style="1" bestFit="1" customWidth="1"/>
    <col min="15633" max="15635" width="16.1796875" style="1" bestFit="1" customWidth="1"/>
    <col min="15636" max="15636" width="2.1796875" style="1" customWidth="1"/>
    <col min="15637" max="15872" width="16" style="1"/>
    <col min="15873" max="15873" width="45.26953125" style="1" customWidth="1"/>
    <col min="15874" max="15875" width="16" style="1"/>
    <col min="15876" max="15885" width="16.1796875" style="1" bestFit="1" customWidth="1"/>
    <col min="15886" max="15886" width="17" style="1" bestFit="1" customWidth="1"/>
    <col min="15887" max="15887" width="16.1796875" style="1" bestFit="1" customWidth="1"/>
    <col min="15888" max="15888" width="16.26953125" style="1" bestFit="1" customWidth="1"/>
    <col min="15889" max="15891" width="16.1796875" style="1" bestFit="1" customWidth="1"/>
    <col min="15892" max="15892" width="2.1796875" style="1" customWidth="1"/>
    <col min="15893" max="16128" width="16" style="1"/>
    <col min="16129" max="16129" width="45.26953125" style="1" customWidth="1"/>
    <col min="16130" max="16131" width="16" style="1"/>
    <col min="16132" max="16141" width="16.1796875" style="1" bestFit="1" customWidth="1"/>
    <col min="16142" max="16142" width="17" style="1" bestFit="1" customWidth="1"/>
    <col min="16143" max="16143" width="16.1796875" style="1" bestFit="1" customWidth="1"/>
    <col min="16144" max="16144" width="16.26953125" style="1" bestFit="1" customWidth="1"/>
    <col min="16145" max="16147" width="16.1796875" style="1" bestFit="1" customWidth="1"/>
    <col min="16148" max="16148" width="2.1796875" style="1" customWidth="1"/>
    <col min="16149" max="16384" width="16" style="1"/>
  </cols>
  <sheetData>
    <row r="1" spans="1:19" ht="18" customHeight="1" thickBot="1" x14ac:dyDescent="0.35">
      <c r="R1" s="799" t="s">
        <v>66</v>
      </c>
      <c r="S1" s="800"/>
    </row>
    <row r="3" spans="1:19" ht="23.5" x14ac:dyDescent="0.55000000000000004">
      <c r="A3" s="783" t="s">
        <v>67</v>
      </c>
      <c r="B3" s="783"/>
      <c r="C3" s="783"/>
      <c r="D3" s="783"/>
      <c r="E3" s="783"/>
      <c r="F3" s="783"/>
      <c r="G3" s="783"/>
      <c r="H3" s="783"/>
      <c r="I3" s="783"/>
      <c r="J3" s="783"/>
      <c r="K3" s="783"/>
      <c r="L3" s="783"/>
      <c r="M3" s="783"/>
      <c r="N3" s="783"/>
      <c r="O3" s="783"/>
      <c r="P3" s="783"/>
      <c r="Q3" s="783"/>
      <c r="R3" s="783"/>
      <c r="S3" s="783"/>
    </row>
    <row r="4" spans="1:19" ht="23.5" x14ac:dyDescent="0.55000000000000004">
      <c r="A4" s="783" t="s">
        <v>3</v>
      </c>
      <c r="B4" s="783"/>
      <c r="C4" s="783"/>
      <c r="D4" s="783"/>
      <c r="E4" s="783"/>
      <c r="F4" s="783"/>
      <c r="G4" s="783"/>
      <c r="H4" s="783"/>
      <c r="I4" s="783"/>
      <c r="J4" s="783"/>
      <c r="K4" s="783"/>
      <c r="L4" s="783"/>
      <c r="M4" s="783"/>
      <c r="N4" s="783"/>
      <c r="O4" s="783"/>
      <c r="P4" s="783"/>
      <c r="Q4" s="783"/>
      <c r="R4" s="783"/>
      <c r="S4" s="783"/>
    </row>
    <row r="5" spans="1:19" ht="18" customHeight="1" x14ac:dyDescent="0.45">
      <c r="A5" s="784" t="s">
        <v>68</v>
      </c>
      <c r="B5" s="784"/>
      <c r="C5" s="784"/>
      <c r="D5" s="784"/>
      <c r="E5" s="784"/>
      <c r="F5" s="784"/>
      <c r="G5" s="784"/>
      <c r="H5" s="784"/>
      <c r="I5" s="784"/>
      <c r="J5" s="784"/>
      <c r="K5" s="784"/>
      <c r="L5" s="784"/>
      <c r="M5" s="784"/>
      <c r="N5" s="784"/>
      <c r="O5" s="784"/>
      <c r="P5" s="784"/>
      <c r="Q5" s="784"/>
      <c r="R5" s="784"/>
      <c r="S5" s="784"/>
    </row>
    <row r="6" spans="1:19" ht="18" customHeight="1" x14ac:dyDescent="0.45">
      <c r="A6" s="784" t="s">
        <v>36</v>
      </c>
      <c r="B6" s="784"/>
      <c r="C6" s="784"/>
      <c r="D6" s="784"/>
      <c r="E6" s="784"/>
      <c r="F6" s="784"/>
      <c r="G6" s="784"/>
      <c r="H6" s="784"/>
      <c r="I6" s="784"/>
      <c r="J6" s="784"/>
      <c r="K6" s="784"/>
      <c r="L6" s="784"/>
      <c r="M6" s="784"/>
      <c r="N6" s="784"/>
      <c r="O6" s="784"/>
      <c r="P6" s="784"/>
      <c r="Q6" s="784"/>
      <c r="R6" s="784"/>
      <c r="S6" s="784"/>
    </row>
    <row r="7" spans="1:19" ht="15.5" x14ac:dyDescent="0.35">
      <c r="A7" s="19"/>
      <c r="B7" s="19"/>
      <c r="C7" s="19"/>
      <c r="D7" s="19"/>
      <c r="E7" s="19"/>
      <c r="F7" s="19"/>
      <c r="G7" s="19"/>
      <c r="H7" s="19"/>
      <c r="I7" s="19"/>
      <c r="J7" s="19"/>
      <c r="K7" s="19"/>
      <c r="L7" s="19"/>
      <c r="M7" s="19"/>
      <c r="N7" s="19"/>
      <c r="O7" s="19"/>
      <c r="P7" s="19"/>
      <c r="Q7" s="19"/>
      <c r="R7" s="20"/>
      <c r="S7" s="20"/>
    </row>
    <row r="8" spans="1:19" ht="16" thickBot="1" x14ac:dyDescent="0.4">
      <c r="A8" s="19"/>
      <c r="B8" s="19"/>
      <c r="C8" s="19"/>
      <c r="D8" s="19"/>
      <c r="E8" s="19"/>
      <c r="F8" s="19"/>
      <c r="G8" s="19"/>
      <c r="H8" s="19"/>
      <c r="I8" s="19"/>
      <c r="J8" s="19"/>
      <c r="K8" s="19"/>
      <c r="L8" s="19"/>
      <c r="M8" s="19"/>
      <c r="N8" s="19"/>
      <c r="O8" s="19"/>
      <c r="P8" s="19"/>
      <c r="Q8" s="19"/>
      <c r="R8" s="20"/>
      <c r="S8" s="20"/>
    </row>
    <row r="9" spans="1:19" ht="15" customHeight="1" thickBot="1" x14ac:dyDescent="0.35">
      <c r="A9" s="21"/>
      <c r="B9" s="791" t="s">
        <v>37</v>
      </c>
      <c r="C9" s="792"/>
      <c r="D9" s="792"/>
      <c r="E9" s="792"/>
      <c r="F9" s="792"/>
      <c r="G9" s="793"/>
      <c r="H9" s="791" t="s">
        <v>38</v>
      </c>
      <c r="I9" s="792"/>
      <c r="J9" s="792"/>
      <c r="K9" s="792"/>
      <c r="L9" s="792"/>
      <c r="M9" s="793"/>
      <c r="N9" s="794" t="s">
        <v>39</v>
      </c>
      <c r="O9" s="795"/>
      <c r="P9" s="795"/>
      <c r="Q9" s="795"/>
      <c r="R9" s="795"/>
      <c r="S9" s="796"/>
    </row>
    <row r="10" spans="1:19" ht="15" customHeight="1" thickBot="1" x14ac:dyDescent="0.35">
      <c r="A10" s="22" t="s">
        <v>40</v>
      </c>
      <c r="B10" s="785" t="s">
        <v>41</v>
      </c>
      <c r="C10" s="791" t="s">
        <v>42</v>
      </c>
      <c r="D10" s="793"/>
      <c r="E10" s="785" t="s">
        <v>43</v>
      </c>
      <c r="F10" s="797" t="s">
        <v>44</v>
      </c>
      <c r="G10" s="798"/>
      <c r="H10" s="785" t="s">
        <v>41</v>
      </c>
      <c r="I10" s="791" t="s">
        <v>42</v>
      </c>
      <c r="J10" s="793"/>
      <c r="K10" s="785" t="s">
        <v>43</v>
      </c>
      <c r="L10" s="791" t="s">
        <v>44</v>
      </c>
      <c r="M10" s="793"/>
      <c r="N10" s="785" t="s">
        <v>41</v>
      </c>
      <c r="O10" s="791" t="s">
        <v>42</v>
      </c>
      <c r="P10" s="793"/>
      <c r="Q10" s="785" t="s">
        <v>43</v>
      </c>
      <c r="R10" s="797" t="s">
        <v>44</v>
      </c>
      <c r="S10" s="798"/>
    </row>
    <row r="11" spans="1:19" ht="39" customHeight="1" thickBot="1" x14ac:dyDescent="0.35">
      <c r="A11" s="23"/>
      <c r="B11" s="787"/>
      <c r="C11" s="24" t="s">
        <v>45</v>
      </c>
      <c r="D11" s="24" t="s">
        <v>11</v>
      </c>
      <c r="E11" s="787"/>
      <c r="F11" s="25" t="s">
        <v>69</v>
      </c>
      <c r="G11" s="25" t="s">
        <v>47</v>
      </c>
      <c r="H11" s="787"/>
      <c r="I11" s="24" t="s">
        <v>45</v>
      </c>
      <c r="J11" s="24" t="s">
        <v>11</v>
      </c>
      <c r="K11" s="787"/>
      <c r="L11" s="25" t="s">
        <v>46</v>
      </c>
      <c r="M11" s="25" t="s">
        <v>47</v>
      </c>
      <c r="N11" s="787"/>
      <c r="O11" s="24" t="s">
        <v>45</v>
      </c>
      <c r="P11" s="24" t="s">
        <v>11</v>
      </c>
      <c r="Q11" s="787"/>
      <c r="R11" s="25" t="s">
        <v>46</v>
      </c>
      <c r="S11" s="25" t="s">
        <v>47</v>
      </c>
    </row>
    <row r="12" spans="1:19" ht="15" customHeight="1" x14ac:dyDescent="0.3">
      <c r="A12" s="6"/>
      <c r="B12" s="6"/>
      <c r="C12" s="6"/>
      <c r="D12" s="6"/>
      <c r="E12" s="6"/>
      <c r="F12" s="6"/>
      <c r="G12" s="6"/>
      <c r="H12" s="6"/>
      <c r="I12" s="6"/>
      <c r="J12" s="6"/>
      <c r="K12" s="6"/>
      <c r="L12" s="6"/>
      <c r="M12" s="6"/>
      <c r="N12" s="6"/>
      <c r="O12" s="6"/>
      <c r="P12" s="6"/>
      <c r="Q12" s="6"/>
      <c r="R12" s="6"/>
      <c r="S12" s="6"/>
    </row>
    <row r="13" spans="1:19" ht="15" customHeight="1" x14ac:dyDescent="0.3">
      <c r="A13" s="27" t="s">
        <v>39</v>
      </c>
      <c r="B13" s="28">
        <v>463526679.28999996</v>
      </c>
      <c r="C13" s="28">
        <v>479215</v>
      </c>
      <c r="D13" s="28">
        <v>213751739.87</v>
      </c>
      <c r="E13" s="28">
        <v>6621396.7200000007</v>
      </c>
      <c r="F13" s="28">
        <v>2138749.5</v>
      </c>
      <c r="G13" s="28">
        <v>1067263.8700000001</v>
      </c>
      <c r="H13" s="28">
        <v>26585887.009999998</v>
      </c>
      <c r="I13" s="28">
        <v>71879</v>
      </c>
      <c r="J13" s="28">
        <v>9511421.459999999</v>
      </c>
      <c r="K13" s="28">
        <v>4571</v>
      </c>
      <c r="L13" s="28">
        <v>1409662</v>
      </c>
      <c r="M13" s="31">
        <v>0</v>
      </c>
      <c r="N13" s="28">
        <v>490112566.29999995</v>
      </c>
      <c r="O13" s="28">
        <v>551094</v>
      </c>
      <c r="P13" s="28">
        <v>223263161.33000001</v>
      </c>
      <c r="Q13" s="28">
        <v>6625967.7200000007</v>
      </c>
      <c r="R13" s="28">
        <v>3548411.5</v>
      </c>
      <c r="S13" s="28">
        <v>1067263.8700000001</v>
      </c>
    </row>
    <row r="14" spans="1:19" ht="15" customHeight="1" x14ac:dyDescent="0.3">
      <c r="A14" s="6"/>
      <c r="B14" s="30"/>
      <c r="C14" s="30"/>
      <c r="D14" s="30"/>
      <c r="E14" s="30"/>
      <c r="F14" s="30"/>
      <c r="G14" s="30"/>
      <c r="H14" s="30"/>
      <c r="I14" s="30"/>
      <c r="J14" s="30"/>
      <c r="K14" s="30"/>
      <c r="L14" s="30"/>
      <c r="M14" s="31"/>
      <c r="N14" s="30"/>
      <c r="O14" s="30"/>
      <c r="P14" s="30"/>
      <c r="Q14" s="30"/>
      <c r="R14" s="30"/>
      <c r="S14" s="30"/>
    </row>
    <row r="15" spans="1:19" ht="15" customHeight="1" x14ac:dyDescent="0.3">
      <c r="A15" s="11" t="s">
        <v>48</v>
      </c>
      <c r="B15" s="28">
        <v>119661850.41</v>
      </c>
      <c r="C15" s="28">
        <v>16255</v>
      </c>
      <c r="D15" s="28">
        <v>43582354.090000004</v>
      </c>
      <c r="E15" s="28">
        <v>6621396.7200000007</v>
      </c>
      <c r="F15" s="28">
        <v>2138749.5</v>
      </c>
      <c r="G15" s="28">
        <v>1067263.8700000001</v>
      </c>
      <c r="H15" s="28">
        <v>14115111.210000001</v>
      </c>
      <c r="I15" s="28">
        <v>291</v>
      </c>
      <c r="J15" s="28">
        <v>1863386.15</v>
      </c>
      <c r="K15" s="28">
        <v>4571</v>
      </c>
      <c r="L15" s="28">
        <v>1409662</v>
      </c>
      <c r="M15" s="31">
        <v>0</v>
      </c>
      <c r="N15" s="28">
        <v>133776961.62</v>
      </c>
      <c r="O15" s="28">
        <v>16546</v>
      </c>
      <c r="P15" s="28">
        <v>45445740.240000002</v>
      </c>
      <c r="Q15" s="28">
        <v>6625967.7200000007</v>
      </c>
      <c r="R15" s="28">
        <v>3548411.5</v>
      </c>
      <c r="S15" s="28">
        <v>1067263.8700000001</v>
      </c>
    </row>
    <row r="16" spans="1:19" ht="15" customHeight="1" x14ac:dyDescent="0.3">
      <c r="A16" s="6"/>
      <c r="B16" s="30"/>
      <c r="C16" s="30"/>
      <c r="D16" s="30"/>
      <c r="E16" s="30"/>
      <c r="F16" s="30"/>
      <c r="G16" s="30"/>
      <c r="H16" s="30"/>
      <c r="I16" s="30"/>
      <c r="J16" s="30"/>
      <c r="K16" s="30"/>
      <c r="L16" s="30"/>
      <c r="M16" s="31"/>
      <c r="N16" s="30"/>
      <c r="O16" s="30"/>
      <c r="P16" s="30"/>
      <c r="Q16" s="30"/>
      <c r="R16" s="30"/>
      <c r="S16" s="30"/>
    </row>
    <row r="17" spans="1:19" ht="15" customHeight="1" x14ac:dyDescent="0.3">
      <c r="A17" s="6" t="s">
        <v>49</v>
      </c>
      <c r="B17" s="30">
        <v>11380782</v>
      </c>
      <c r="C17" s="30">
        <v>349</v>
      </c>
      <c r="D17" s="30">
        <v>1056224.05</v>
      </c>
      <c r="E17" s="30">
        <v>2523659.6800000006</v>
      </c>
      <c r="F17" s="30">
        <v>2089088.4999999998</v>
      </c>
      <c r="G17" s="30">
        <v>38448.720000000001</v>
      </c>
      <c r="H17" s="30">
        <v>9426192</v>
      </c>
      <c r="I17" s="30">
        <v>15</v>
      </c>
      <c r="J17" s="30">
        <v>834571</v>
      </c>
      <c r="K17" s="30">
        <v>4571</v>
      </c>
      <c r="L17" s="30">
        <v>1409662</v>
      </c>
      <c r="M17" s="31">
        <v>0</v>
      </c>
      <c r="N17" s="30">
        <v>20806974</v>
      </c>
      <c r="O17" s="30">
        <v>364</v>
      </c>
      <c r="P17" s="30">
        <v>1890795.05</v>
      </c>
      <c r="Q17" s="30">
        <v>2528230.6800000006</v>
      </c>
      <c r="R17" s="30">
        <v>3498750.5</v>
      </c>
      <c r="S17" s="30">
        <v>38448.720000000001</v>
      </c>
    </row>
    <row r="18" spans="1:19" ht="15" customHeight="1" x14ac:dyDescent="0.3">
      <c r="A18" s="6" t="s">
        <v>50</v>
      </c>
      <c r="B18" s="30">
        <v>39588820</v>
      </c>
      <c r="C18" s="30">
        <v>5901</v>
      </c>
      <c r="D18" s="30">
        <v>14830542</v>
      </c>
      <c r="E18" s="30">
        <v>58498</v>
      </c>
      <c r="F18" s="30">
        <v>49385</v>
      </c>
      <c r="G18" s="33">
        <v>0</v>
      </c>
      <c r="H18" s="29">
        <v>649680.16999999993</v>
      </c>
      <c r="I18" s="29">
        <v>0</v>
      </c>
      <c r="J18" s="29">
        <v>0</v>
      </c>
      <c r="K18" s="29">
        <v>0</v>
      </c>
      <c r="L18" s="29">
        <v>0</v>
      </c>
      <c r="M18" s="31">
        <v>0</v>
      </c>
      <c r="N18" s="30">
        <v>40238500.170000002</v>
      </c>
      <c r="O18" s="30">
        <v>5901</v>
      </c>
      <c r="P18" s="30">
        <v>14830542</v>
      </c>
      <c r="Q18" s="30">
        <v>58498</v>
      </c>
      <c r="R18" s="30">
        <v>49385</v>
      </c>
      <c r="S18" s="33">
        <v>0</v>
      </c>
    </row>
    <row r="19" spans="1:19" ht="15" customHeight="1" x14ac:dyDescent="0.3">
      <c r="A19" s="6" t="s">
        <v>51</v>
      </c>
      <c r="B19" s="30">
        <v>68692248.409999996</v>
      </c>
      <c r="C19" s="30">
        <v>10005</v>
      </c>
      <c r="D19" s="30">
        <v>27695588.039999999</v>
      </c>
      <c r="E19" s="30">
        <v>4039239.04</v>
      </c>
      <c r="F19" s="30">
        <v>276</v>
      </c>
      <c r="G19" s="30">
        <v>1028815.15</v>
      </c>
      <c r="H19" s="30">
        <v>4039239.04</v>
      </c>
      <c r="I19" s="30">
        <v>276</v>
      </c>
      <c r="J19" s="30">
        <v>1028815.15</v>
      </c>
      <c r="K19" s="29">
        <v>0</v>
      </c>
      <c r="L19" s="29">
        <v>0</v>
      </c>
      <c r="M19" s="31">
        <v>0</v>
      </c>
      <c r="N19" s="30">
        <v>72731487.450000003</v>
      </c>
      <c r="O19" s="30">
        <v>10281</v>
      </c>
      <c r="P19" s="30">
        <v>28724403.189999998</v>
      </c>
      <c r="Q19" s="30">
        <v>4039239.04</v>
      </c>
      <c r="R19" s="30">
        <v>276</v>
      </c>
      <c r="S19" s="30">
        <v>1028815.15</v>
      </c>
    </row>
    <row r="20" spans="1:19" ht="15" customHeight="1" x14ac:dyDescent="0.3">
      <c r="A20" s="6"/>
      <c r="B20" s="30"/>
      <c r="C20" s="30"/>
      <c r="D20" s="30"/>
      <c r="E20" s="30"/>
      <c r="F20" s="30"/>
      <c r="G20" s="30"/>
      <c r="H20" s="29"/>
      <c r="I20" s="29"/>
      <c r="J20" s="29"/>
      <c r="K20" s="29"/>
      <c r="L20" s="29"/>
      <c r="M20" s="31"/>
      <c r="N20" s="30"/>
      <c r="O20" s="30"/>
      <c r="P20" s="30"/>
      <c r="Q20" s="30"/>
      <c r="R20" s="30"/>
      <c r="S20" s="30"/>
    </row>
    <row r="21" spans="1:19" ht="15" customHeight="1" x14ac:dyDescent="0.3">
      <c r="A21" s="11" t="s">
        <v>52</v>
      </c>
      <c r="B21" s="28">
        <v>51856214.620000005</v>
      </c>
      <c r="C21" s="28">
        <v>7510</v>
      </c>
      <c r="D21" s="28">
        <v>29537684.660000004</v>
      </c>
      <c r="E21" s="33">
        <v>0</v>
      </c>
      <c r="F21" s="33">
        <v>0</v>
      </c>
      <c r="G21" s="33">
        <v>0</v>
      </c>
      <c r="H21" s="33">
        <v>0</v>
      </c>
      <c r="I21" s="33">
        <v>0</v>
      </c>
      <c r="J21" s="33">
        <v>0</v>
      </c>
      <c r="K21" s="33"/>
      <c r="L21" s="33"/>
      <c r="M21" s="31"/>
      <c r="N21" s="28">
        <v>51856214.620000005</v>
      </c>
      <c r="O21" s="28">
        <v>7510</v>
      </c>
      <c r="P21" s="28">
        <v>29537684.660000004</v>
      </c>
      <c r="Q21" s="33">
        <v>0</v>
      </c>
      <c r="R21" s="33">
        <v>0</v>
      </c>
      <c r="S21" s="33">
        <v>0</v>
      </c>
    </row>
    <row r="22" spans="1:19" ht="15" customHeight="1" x14ac:dyDescent="0.3">
      <c r="A22" s="6"/>
      <c r="B22" s="30"/>
      <c r="C22" s="30"/>
      <c r="D22" s="30"/>
      <c r="E22" s="30"/>
      <c r="F22" s="30"/>
      <c r="G22" s="30"/>
      <c r="H22" s="30"/>
      <c r="I22" s="30"/>
      <c r="J22" s="30"/>
      <c r="K22" s="30"/>
      <c r="L22" s="30"/>
      <c r="M22" s="30"/>
      <c r="N22" s="30"/>
      <c r="O22" s="30"/>
      <c r="P22" s="30"/>
      <c r="Q22" s="31"/>
      <c r="R22" s="31"/>
      <c r="S22" s="28"/>
    </row>
    <row r="23" spans="1:19" ht="15" customHeight="1" x14ac:dyDescent="0.3">
      <c r="A23" s="11" t="s">
        <v>1</v>
      </c>
      <c r="B23" s="28">
        <v>74703542.349999994</v>
      </c>
      <c r="C23" s="28">
        <v>388531</v>
      </c>
      <c r="D23" s="28">
        <v>57481105.880000003</v>
      </c>
      <c r="E23" s="31">
        <v>0</v>
      </c>
      <c r="F23" s="31">
        <v>0</v>
      </c>
      <c r="G23" s="31">
        <v>0</v>
      </c>
      <c r="H23" s="28">
        <v>12470775.799999997</v>
      </c>
      <c r="I23" s="28">
        <v>71588</v>
      </c>
      <c r="J23" s="28">
        <v>7648035.3099999996</v>
      </c>
      <c r="K23" s="31">
        <v>0</v>
      </c>
      <c r="L23" s="31">
        <v>0</v>
      </c>
      <c r="M23" s="31">
        <v>0</v>
      </c>
      <c r="N23" s="28">
        <v>87174318.149999991</v>
      </c>
      <c r="O23" s="28">
        <v>460119</v>
      </c>
      <c r="P23" s="28">
        <v>65129141.190000005</v>
      </c>
      <c r="Q23" s="33">
        <v>0</v>
      </c>
      <c r="R23" s="33">
        <v>0</v>
      </c>
      <c r="S23" s="33">
        <v>0</v>
      </c>
    </row>
    <row r="24" spans="1:19" ht="15" customHeight="1" x14ac:dyDescent="0.3">
      <c r="A24" s="6"/>
      <c r="B24" s="30"/>
      <c r="C24" s="30"/>
      <c r="D24" s="30"/>
      <c r="E24" s="30"/>
      <c r="F24" s="30"/>
      <c r="G24" s="30"/>
      <c r="H24" s="30"/>
      <c r="I24" s="30"/>
      <c r="J24" s="30"/>
      <c r="K24" s="31"/>
      <c r="L24" s="31"/>
      <c r="M24" s="31"/>
      <c r="N24" s="30"/>
      <c r="O24" s="30"/>
      <c r="P24" s="30"/>
      <c r="Q24" s="33"/>
      <c r="R24" s="33"/>
      <c r="S24" s="33"/>
    </row>
    <row r="25" spans="1:19" ht="15" customHeight="1" x14ac:dyDescent="0.3">
      <c r="A25" s="6" t="s">
        <v>53</v>
      </c>
      <c r="B25" s="30">
        <v>4106893.27</v>
      </c>
      <c r="C25" s="30">
        <v>4550</v>
      </c>
      <c r="D25" s="30">
        <v>1047191.5</v>
      </c>
      <c r="E25" s="31">
        <v>0</v>
      </c>
      <c r="F25" s="31">
        <v>0</v>
      </c>
      <c r="G25" s="31">
        <v>0</v>
      </c>
      <c r="H25" s="31">
        <v>0</v>
      </c>
      <c r="I25" s="29">
        <v>0</v>
      </c>
      <c r="J25" s="29">
        <v>0</v>
      </c>
      <c r="K25" s="31">
        <v>0</v>
      </c>
      <c r="L25" s="31">
        <v>0</v>
      </c>
      <c r="M25" s="31">
        <v>0</v>
      </c>
      <c r="N25" s="30">
        <v>4106893.27</v>
      </c>
      <c r="O25" s="30">
        <v>4550</v>
      </c>
      <c r="P25" s="30">
        <v>1047191.5</v>
      </c>
      <c r="Q25" s="33">
        <v>0</v>
      </c>
      <c r="R25" s="33">
        <v>0</v>
      </c>
      <c r="S25" s="33">
        <v>0</v>
      </c>
    </row>
    <row r="26" spans="1:19" ht="15" customHeight="1" x14ac:dyDescent="0.3">
      <c r="A26" s="6" t="s">
        <v>70</v>
      </c>
      <c r="B26" s="30">
        <v>70596649.079999998</v>
      </c>
      <c r="C26" s="30">
        <v>383981</v>
      </c>
      <c r="D26" s="30">
        <v>56433914.380000003</v>
      </c>
      <c r="E26" s="31">
        <v>0</v>
      </c>
      <c r="F26" s="31">
        <v>0</v>
      </c>
      <c r="G26" s="31">
        <v>0</v>
      </c>
      <c r="H26" s="30">
        <v>12470775.799999997</v>
      </c>
      <c r="I26" s="30">
        <v>71588</v>
      </c>
      <c r="J26" s="30">
        <v>7648035.3099999996</v>
      </c>
      <c r="K26" s="31">
        <v>0</v>
      </c>
      <c r="L26" s="31">
        <v>0</v>
      </c>
      <c r="M26" s="31">
        <v>0</v>
      </c>
      <c r="N26" s="30">
        <v>83067424.879999995</v>
      </c>
      <c r="O26" s="30">
        <v>455569</v>
      </c>
      <c r="P26" s="30">
        <v>64081949.690000005</v>
      </c>
      <c r="Q26" s="33">
        <v>0</v>
      </c>
      <c r="R26" s="33">
        <v>0</v>
      </c>
      <c r="S26" s="33">
        <v>0</v>
      </c>
    </row>
    <row r="27" spans="1:19" ht="15" customHeight="1" x14ac:dyDescent="0.3">
      <c r="A27" s="6"/>
      <c r="B27" s="30"/>
      <c r="C27" s="30"/>
      <c r="D27" s="30"/>
      <c r="E27" s="31"/>
      <c r="F27" s="31"/>
      <c r="G27" s="31"/>
      <c r="H27" s="34"/>
      <c r="I27" s="30"/>
      <c r="J27" s="30"/>
      <c r="K27" s="31"/>
      <c r="L27" s="31"/>
      <c r="M27" s="31"/>
      <c r="N27" s="30"/>
      <c r="O27" s="30"/>
      <c r="P27" s="30"/>
      <c r="Q27" s="33"/>
      <c r="R27" s="33"/>
      <c r="S27" s="33"/>
    </row>
    <row r="28" spans="1:19" ht="15" customHeight="1" x14ac:dyDescent="0.3">
      <c r="A28" s="11" t="s">
        <v>55</v>
      </c>
      <c r="B28" s="28">
        <v>204202780.38</v>
      </c>
      <c r="C28" s="28">
        <v>66891</v>
      </c>
      <c r="D28" s="28">
        <v>82721770.879999995</v>
      </c>
      <c r="E28" s="31">
        <v>0</v>
      </c>
      <c r="F28" s="31">
        <v>0</v>
      </c>
      <c r="G28" s="31">
        <v>0</v>
      </c>
      <c r="H28" s="31">
        <v>0</v>
      </c>
      <c r="I28" s="31">
        <v>0</v>
      </c>
      <c r="J28" s="31">
        <v>0</v>
      </c>
      <c r="K28" s="31">
        <v>0</v>
      </c>
      <c r="L28" s="31">
        <v>0</v>
      </c>
      <c r="M28" s="31">
        <v>0</v>
      </c>
      <c r="N28" s="28">
        <v>204202780.38</v>
      </c>
      <c r="O28" s="28">
        <v>66891</v>
      </c>
      <c r="P28" s="28">
        <v>82721770.879999995</v>
      </c>
      <c r="Q28" s="33">
        <v>0</v>
      </c>
      <c r="R28" s="33">
        <v>0</v>
      </c>
      <c r="S28" s="33">
        <v>0</v>
      </c>
    </row>
    <row r="29" spans="1:19" ht="15" customHeight="1" x14ac:dyDescent="0.3">
      <c r="A29" s="6"/>
      <c r="B29" s="30"/>
      <c r="C29" s="30"/>
      <c r="D29" s="30"/>
      <c r="E29" s="31"/>
      <c r="F29" s="31"/>
      <c r="G29" s="31"/>
      <c r="H29" s="30"/>
      <c r="I29" s="30"/>
      <c r="J29" s="30"/>
      <c r="K29" s="30"/>
      <c r="L29" s="30"/>
      <c r="M29" s="30"/>
      <c r="N29" s="30"/>
      <c r="O29" s="30"/>
      <c r="P29" s="30"/>
      <c r="Q29" s="31"/>
      <c r="R29" s="31"/>
      <c r="S29" s="31"/>
    </row>
    <row r="30" spans="1:19" ht="15" customHeight="1" x14ac:dyDescent="0.3">
      <c r="A30" s="6" t="s">
        <v>56</v>
      </c>
      <c r="B30" s="31">
        <v>0</v>
      </c>
      <c r="C30" s="30">
        <v>12</v>
      </c>
      <c r="D30" s="30">
        <v>148.91999999999999</v>
      </c>
      <c r="E30" s="31">
        <v>0</v>
      </c>
      <c r="F30" s="31">
        <v>0</v>
      </c>
      <c r="G30" s="31">
        <v>0</v>
      </c>
      <c r="H30" s="31">
        <v>0</v>
      </c>
      <c r="I30" s="31">
        <v>0</v>
      </c>
      <c r="J30" s="31">
        <v>0</v>
      </c>
      <c r="K30" s="31">
        <v>0</v>
      </c>
      <c r="L30" s="31">
        <v>0</v>
      </c>
      <c r="M30" s="31">
        <v>0</v>
      </c>
      <c r="N30" s="33">
        <v>0</v>
      </c>
      <c r="O30" s="30">
        <v>12</v>
      </c>
      <c r="P30" s="30">
        <v>148.91999999999999</v>
      </c>
      <c r="Q30" s="33">
        <v>0</v>
      </c>
      <c r="R30" s="33">
        <v>0</v>
      </c>
      <c r="S30" s="33">
        <v>0</v>
      </c>
    </row>
    <row r="31" spans="1:19" ht="15" customHeight="1" x14ac:dyDescent="0.3">
      <c r="A31" s="6" t="s">
        <v>57</v>
      </c>
      <c r="B31" s="30">
        <v>81241841.75</v>
      </c>
      <c r="C31" s="30">
        <v>6070</v>
      </c>
      <c r="D31" s="30">
        <v>17595504.200000003</v>
      </c>
      <c r="E31" s="31">
        <v>0</v>
      </c>
      <c r="F31" s="31">
        <v>0</v>
      </c>
      <c r="G31" s="31">
        <v>0</v>
      </c>
      <c r="H31" s="31">
        <v>0</v>
      </c>
      <c r="I31" s="31">
        <v>0</v>
      </c>
      <c r="J31" s="31">
        <v>0</v>
      </c>
      <c r="K31" s="31">
        <v>0</v>
      </c>
      <c r="L31" s="31">
        <v>0</v>
      </c>
      <c r="M31" s="31">
        <v>0</v>
      </c>
      <c r="N31" s="30">
        <v>81241841.75</v>
      </c>
      <c r="O31" s="30">
        <v>6070</v>
      </c>
      <c r="P31" s="30">
        <v>17595504.200000003</v>
      </c>
      <c r="Q31" s="33">
        <v>0</v>
      </c>
      <c r="R31" s="33">
        <v>0</v>
      </c>
      <c r="S31" s="33">
        <v>0</v>
      </c>
    </row>
    <row r="32" spans="1:19" ht="15" customHeight="1" x14ac:dyDescent="0.3">
      <c r="A32" s="6" t="s">
        <v>58</v>
      </c>
      <c r="B32" s="30">
        <v>66642798.18</v>
      </c>
      <c r="C32" s="30">
        <v>54070</v>
      </c>
      <c r="D32" s="30">
        <v>47690577.519999996</v>
      </c>
      <c r="E32" s="31">
        <v>0</v>
      </c>
      <c r="F32" s="31">
        <v>0</v>
      </c>
      <c r="G32" s="31">
        <v>0</v>
      </c>
      <c r="H32" s="31">
        <v>0</v>
      </c>
      <c r="I32" s="31">
        <v>0</v>
      </c>
      <c r="J32" s="31">
        <v>0</v>
      </c>
      <c r="K32" s="31">
        <v>0</v>
      </c>
      <c r="L32" s="31">
        <v>0</v>
      </c>
      <c r="M32" s="31">
        <v>0</v>
      </c>
      <c r="N32" s="30">
        <v>66642798.18</v>
      </c>
      <c r="O32" s="30">
        <v>54070</v>
      </c>
      <c r="P32" s="30">
        <v>47690577.519999996</v>
      </c>
      <c r="Q32" s="33">
        <v>0</v>
      </c>
      <c r="R32" s="33">
        <v>0</v>
      </c>
      <c r="S32" s="33">
        <v>0</v>
      </c>
    </row>
    <row r="33" spans="1:19" ht="15" customHeight="1" x14ac:dyDescent="0.3">
      <c r="A33" s="6" t="s">
        <v>59</v>
      </c>
      <c r="B33" s="30">
        <v>11383241.93</v>
      </c>
      <c r="C33" s="30">
        <v>832</v>
      </c>
      <c r="D33" s="30">
        <v>3375962.1700000004</v>
      </c>
      <c r="E33" s="31">
        <v>0</v>
      </c>
      <c r="F33" s="31">
        <v>0</v>
      </c>
      <c r="G33" s="31">
        <v>0</v>
      </c>
      <c r="H33" s="31">
        <v>0</v>
      </c>
      <c r="I33" s="31">
        <v>0</v>
      </c>
      <c r="J33" s="31">
        <v>0</v>
      </c>
      <c r="K33" s="31">
        <v>0</v>
      </c>
      <c r="L33" s="31">
        <v>0</v>
      </c>
      <c r="M33" s="31">
        <v>0</v>
      </c>
      <c r="N33" s="30">
        <v>11383241.93</v>
      </c>
      <c r="O33" s="30">
        <v>832</v>
      </c>
      <c r="P33" s="30">
        <v>3375962.1700000004</v>
      </c>
      <c r="Q33" s="33">
        <v>0</v>
      </c>
      <c r="R33" s="33">
        <v>0</v>
      </c>
      <c r="S33" s="33">
        <v>0</v>
      </c>
    </row>
    <row r="34" spans="1:19" ht="15" customHeight="1" x14ac:dyDescent="0.3">
      <c r="A34" s="6" t="s">
        <v>60</v>
      </c>
      <c r="B34" s="30">
        <v>44934898.519999996</v>
      </c>
      <c r="C34" s="30">
        <v>5907</v>
      </c>
      <c r="D34" s="30">
        <v>14059578.069999998</v>
      </c>
      <c r="E34" s="31">
        <v>0</v>
      </c>
      <c r="F34" s="31">
        <v>0</v>
      </c>
      <c r="G34" s="31">
        <v>0</v>
      </c>
      <c r="H34" s="31">
        <v>0</v>
      </c>
      <c r="I34" s="31">
        <v>0</v>
      </c>
      <c r="J34" s="31">
        <v>0</v>
      </c>
      <c r="K34" s="31">
        <v>0</v>
      </c>
      <c r="L34" s="31">
        <v>0</v>
      </c>
      <c r="M34" s="31">
        <v>0</v>
      </c>
      <c r="N34" s="30">
        <v>44934898.519999996</v>
      </c>
      <c r="O34" s="30">
        <v>5907</v>
      </c>
      <c r="P34" s="30">
        <v>14059578.069999998</v>
      </c>
      <c r="Q34" s="33">
        <v>0</v>
      </c>
      <c r="R34" s="33">
        <v>0</v>
      </c>
      <c r="S34" s="33">
        <v>0</v>
      </c>
    </row>
    <row r="35" spans="1:19" ht="15" customHeight="1" x14ac:dyDescent="0.3">
      <c r="A35" s="6"/>
      <c r="B35" s="30"/>
      <c r="C35" s="30"/>
      <c r="D35" s="30"/>
      <c r="E35" s="31"/>
      <c r="F35" s="31"/>
      <c r="G35" s="31"/>
      <c r="H35" s="30"/>
      <c r="I35" s="30"/>
      <c r="J35" s="30"/>
      <c r="K35" s="30"/>
      <c r="L35" s="30"/>
      <c r="M35" s="30"/>
      <c r="N35" s="30"/>
      <c r="O35" s="30"/>
      <c r="P35" s="30"/>
      <c r="Q35" s="33"/>
      <c r="R35" s="33"/>
      <c r="S35" s="33"/>
    </row>
    <row r="36" spans="1:19" ht="15" customHeight="1" x14ac:dyDescent="0.3">
      <c r="A36" s="11" t="s">
        <v>61</v>
      </c>
      <c r="B36" s="28">
        <v>13102291.530000001</v>
      </c>
      <c r="C36" s="28">
        <v>28</v>
      </c>
      <c r="D36" s="28">
        <v>428824.36</v>
      </c>
      <c r="E36" s="31">
        <v>0</v>
      </c>
      <c r="F36" s="31">
        <v>0</v>
      </c>
      <c r="G36" s="31">
        <v>0</v>
      </c>
      <c r="H36" s="32">
        <v>0</v>
      </c>
      <c r="I36" s="32">
        <v>0</v>
      </c>
      <c r="J36" s="32">
        <v>0</v>
      </c>
      <c r="K36" s="32">
        <v>0</v>
      </c>
      <c r="L36" s="32">
        <v>0</v>
      </c>
      <c r="M36" s="32">
        <v>0</v>
      </c>
      <c r="N36" s="28">
        <v>13102291.530000001</v>
      </c>
      <c r="O36" s="28">
        <v>28</v>
      </c>
      <c r="P36" s="28">
        <v>428824.36</v>
      </c>
      <c r="Q36" s="33">
        <v>0</v>
      </c>
      <c r="R36" s="33">
        <v>0</v>
      </c>
      <c r="S36" s="33">
        <v>0</v>
      </c>
    </row>
    <row r="37" spans="1:19" ht="13.5" thickBot="1" x14ac:dyDescent="0.35">
      <c r="A37" s="13"/>
      <c r="B37" s="35"/>
      <c r="C37" s="35"/>
      <c r="D37" s="35"/>
      <c r="E37" s="35"/>
      <c r="F37" s="35"/>
      <c r="G37" s="35"/>
      <c r="H37" s="35"/>
      <c r="I37" s="35"/>
      <c r="J37" s="35"/>
      <c r="K37" s="35"/>
      <c r="L37" s="35"/>
      <c r="M37" s="35"/>
      <c r="N37" s="35"/>
      <c r="O37" s="35"/>
      <c r="P37" s="35"/>
      <c r="Q37" s="35"/>
      <c r="R37" s="35"/>
      <c r="S37" s="35"/>
    </row>
    <row r="38" spans="1:19" ht="14.5" x14ac:dyDescent="0.35">
      <c r="A38" s="36" t="s">
        <v>62</v>
      </c>
      <c r="B38" s="37"/>
      <c r="C38" s="37"/>
      <c r="D38" s="37"/>
      <c r="E38" s="37"/>
      <c r="F38" s="37"/>
      <c r="G38" s="37"/>
      <c r="H38" s="37"/>
      <c r="I38" s="37"/>
      <c r="J38" s="37"/>
      <c r="K38" s="37"/>
      <c r="L38" s="37"/>
      <c r="M38" s="37"/>
      <c r="N38" s="37"/>
      <c r="O38" s="37"/>
      <c r="P38" s="37"/>
      <c r="Q38" s="37"/>
      <c r="R38" s="37"/>
    </row>
    <row r="39" spans="1:19" ht="14.5" x14ac:dyDescent="0.35">
      <c r="A39" s="36" t="s">
        <v>63</v>
      </c>
      <c r="B39" s="37"/>
      <c r="C39" s="37"/>
      <c r="D39" s="37"/>
      <c r="E39" s="37"/>
      <c r="F39" s="37"/>
      <c r="G39" s="37"/>
      <c r="H39" s="37"/>
      <c r="I39" s="37"/>
      <c r="J39" s="37"/>
      <c r="K39" s="37"/>
      <c r="L39" s="37"/>
      <c r="M39" s="37"/>
      <c r="N39" s="37"/>
      <c r="O39" s="37"/>
      <c r="P39" s="37"/>
      <c r="Q39" s="37"/>
      <c r="R39" s="37"/>
    </row>
    <row r="40" spans="1:19" ht="14.5" x14ac:dyDescent="0.35">
      <c r="A40" s="38" t="s">
        <v>30</v>
      </c>
      <c r="B40" s="37"/>
      <c r="C40" s="37"/>
      <c r="D40" s="37"/>
      <c r="E40" s="37"/>
      <c r="F40" s="37"/>
      <c r="G40" s="37"/>
      <c r="H40" s="37"/>
      <c r="I40" s="37"/>
      <c r="J40" s="37"/>
      <c r="K40" s="37"/>
      <c r="L40" s="37"/>
      <c r="M40" s="37"/>
      <c r="N40" s="37"/>
      <c r="O40" s="37"/>
      <c r="P40" s="37"/>
      <c r="Q40" s="37"/>
      <c r="R40" s="37"/>
    </row>
    <row r="41" spans="1:19" x14ac:dyDescent="0.3">
      <c r="B41" s="37"/>
      <c r="C41" s="37"/>
      <c r="D41" s="37"/>
      <c r="E41" s="37"/>
      <c r="F41" s="37"/>
      <c r="G41" s="37"/>
      <c r="H41" s="37"/>
      <c r="I41" s="37"/>
      <c r="J41" s="37"/>
      <c r="K41" s="37"/>
      <c r="L41" s="37"/>
      <c r="M41" s="37"/>
      <c r="N41" s="37"/>
      <c r="O41" s="37"/>
      <c r="P41" s="37"/>
      <c r="Q41" s="37"/>
      <c r="R41" s="37"/>
    </row>
    <row r="42" spans="1:19" x14ac:dyDescent="0.3">
      <c r="B42" s="37"/>
      <c r="C42" s="37"/>
      <c r="D42" s="37"/>
      <c r="E42" s="37"/>
      <c r="F42" s="37"/>
      <c r="G42" s="37"/>
      <c r="H42" s="37"/>
      <c r="I42" s="37"/>
      <c r="J42" s="37"/>
      <c r="K42" s="37"/>
      <c r="L42" s="37"/>
      <c r="M42" s="37"/>
      <c r="N42" s="37"/>
      <c r="O42" s="37"/>
      <c r="P42" s="37"/>
      <c r="Q42" s="37"/>
      <c r="R42" s="37"/>
    </row>
    <row r="43" spans="1:19" x14ac:dyDescent="0.3">
      <c r="B43" s="37"/>
      <c r="C43" s="37"/>
      <c r="D43" s="37"/>
      <c r="E43" s="37"/>
      <c r="F43" s="37"/>
      <c r="G43" s="37"/>
      <c r="H43" s="37"/>
      <c r="I43" s="37"/>
      <c r="J43" s="37"/>
      <c r="K43" s="37"/>
      <c r="L43" s="37"/>
      <c r="M43" s="37"/>
      <c r="N43" s="37"/>
      <c r="O43" s="37"/>
      <c r="P43" s="37"/>
      <c r="Q43" s="37"/>
      <c r="R43" s="37"/>
    </row>
    <row r="44" spans="1:19" x14ac:dyDescent="0.3">
      <c r="B44" s="37"/>
      <c r="C44" s="37"/>
      <c r="D44" s="37"/>
      <c r="E44" s="37"/>
      <c r="F44" s="37"/>
      <c r="G44" s="37"/>
      <c r="H44" s="37"/>
      <c r="I44" s="37"/>
      <c r="J44" s="37"/>
      <c r="K44" s="37"/>
      <c r="L44" s="37"/>
      <c r="M44" s="37"/>
      <c r="N44" s="37"/>
      <c r="O44" s="37"/>
      <c r="P44" s="37"/>
      <c r="Q44" s="37"/>
      <c r="R44" s="37"/>
    </row>
    <row r="45" spans="1:19" x14ac:dyDescent="0.3">
      <c r="B45" s="37"/>
      <c r="C45" s="37"/>
      <c r="D45" s="37"/>
      <c r="E45" s="37"/>
      <c r="F45" s="37"/>
      <c r="G45" s="37"/>
      <c r="H45" s="37"/>
      <c r="I45" s="37"/>
      <c r="J45" s="37"/>
      <c r="K45" s="37"/>
      <c r="L45" s="37"/>
      <c r="M45" s="37"/>
      <c r="N45" s="37"/>
      <c r="O45" s="37"/>
      <c r="P45" s="37"/>
      <c r="Q45" s="37"/>
      <c r="R45" s="37"/>
    </row>
    <row r="46" spans="1:19" x14ac:dyDescent="0.3">
      <c r="B46" s="37"/>
      <c r="C46" s="37"/>
      <c r="D46" s="37"/>
      <c r="E46" s="37"/>
      <c r="F46" s="37"/>
      <c r="G46" s="37"/>
      <c r="H46" s="37"/>
      <c r="I46" s="37"/>
      <c r="J46" s="37"/>
      <c r="K46" s="37"/>
      <c r="L46" s="37"/>
      <c r="M46" s="37"/>
      <c r="N46" s="37"/>
      <c r="O46" s="37"/>
      <c r="P46" s="37"/>
      <c r="Q46" s="37"/>
      <c r="R46" s="37"/>
    </row>
    <row r="47" spans="1:19" x14ac:dyDescent="0.3">
      <c r="B47" s="37"/>
      <c r="C47" s="37"/>
      <c r="D47" s="37"/>
      <c r="E47" s="37"/>
      <c r="F47" s="37"/>
      <c r="G47" s="37"/>
      <c r="H47" s="37"/>
      <c r="I47" s="37"/>
      <c r="J47" s="37"/>
      <c r="K47" s="37"/>
      <c r="L47" s="37"/>
      <c r="M47" s="37"/>
      <c r="N47" s="37"/>
      <c r="O47" s="37"/>
      <c r="P47" s="37"/>
      <c r="Q47" s="37"/>
      <c r="R47" s="37"/>
    </row>
    <row r="48" spans="1:19" x14ac:dyDescent="0.3">
      <c r="B48" s="37"/>
      <c r="C48" s="37"/>
      <c r="D48" s="37"/>
      <c r="E48" s="37"/>
      <c r="F48" s="37"/>
      <c r="G48" s="37"/>
      <c r="H48" s="37"/>
      <c r="I48" s="37"/>
      <c r="J48" s="37"/>
      <c r="K48" s="37"/>
      <c r="L48" s="37"/>
      <c r="M48" s="37"/>
      <c r="N48" s="37"/>
      <c r="O48" s="37"/>
      <c r="P48" s="37"/>
      <c r="Q48" s="37"/>
      <c r="R48" s="37"/>
    </row>
    <row r="49" spans="2:18" x14ac:dyDescent="0.3">
      <c r="B49" s="37"/>
      <c r="C49" s="37"/>
      <c r="D49" s="37"/>
      <c r="E49" s="37"/>
      <c r="F49" s="37"/>
      <c r="G49" s="37"/>
      <c r="H49" s="37"/>
      <c r="I49" s="37"/>
      <c r="J49" s="37"/>
      <c r="K49" s="37"/>
      <c r="L49" s="37"/>
      <c r="M49" s="37"/>
      <c r="N49" s="37"/>
      <c r="O49" s="37"/>
      <c r="P49" s="37"/>
      <c r="Q49" s="37"/>
      <c r="R49" s="37"/>
    </row>
    <row r="50" spans="2:18" x14ac:dyDescent="0.3">
      <c r="B50" s="37"/>
      <c r="C50" s="37"/>
      <c r="D50" s="37"/>
      <c r="E50" s="37"/>
      <c r="F50" s="37"/>
      <c r="G50" s="37"/>
      <c r="H50" s="37"/>
      <c r="I50" s="37"/>
      <c r="J50" s="37"/>
      <c r="K50" s="37"/>
      <c r="L50" s="37"/>
      <c r="M50" s="37"/>
      <c r="N50" s="37"/>
      <c r="O50" s="37"/>
      <c r="P50" s="37"/>
      <c r="Q50" s="37"/>
      <c r="R50" s="37"/>
    </row>
    <row r="51" spans="2:18" x14ac:dyDescent="0.3">
      <c r="B51" s="37"/>
      <c r="C51" s="37"/>
      <c r="D51" s="37"/>
      <c r="E51" s="37"/>
      <c r="F51" s="37"/>
      <c r="G51" s="37"/>
      <c r="H51" s="37"/>
      <c r="I51" s="37"/>
      <c r="J51" s="37"/>
      <c r="K51" s="37"/>
      <c r="L51" s="37"/>
      <c r="M51" s="37"/>
      <c r="N51" s="37"/>
      <c r="O51" s="37"/>
      <c r="P51" s="37"/>
      <c r="Q51" s="37"/>
      <c r="R51" s="37"/>
    </row>
    <row r="52" spans="2:18" x14ac:dyDescent="0.3">
      <c r="B52" s="37"/>
      <c r="C52" s="37"/>
      <c r="D52" s="37"/>
      <c r="E52" s="37"/>
      <c r="F52" s="37"/>
      <c r="G52" s="37"/>
      <c r="H52" s="37"/>
      <c r="I52" s="37"/>
      <c r="J52" s="37"/>
      <c r="K52" s="37"/>
      <c r="L52" s="37"/>
      <c r="M52" s="37"/>
      <c r="N52" s="37"/>
      <c r="O52" s="37"/>
      <c r="P52" s="37"/>
      <c r="Q52" s="37"/>
      <c r="R52" s="37"/>
    </row>
    <row r="53" spans="2:18" x14ac:dyDescent="0.3">
      <c r="B53" s="37"/>
      <c r="C53" s="37"/>
      <c r="D53" s="37"/>
      <c r="E53" s="37"/>
      <c r="F53" s="37"/>
      <c r="G53" s="37"/>
      <c r="H53" s="37"/>
      <c r="I53" s="37"/>
      <c r="J53" s="37"/>
      <c r="K53" s="37"/>
      <c r="L53" s="37"/>
      <c r="M53" s="37"/>
      <c r="N53" s="37"/>
      <c r="O53" s="37"/>
      <c r="P53" s="37"/>
      <c r="Q53" s="37"/>
      <c r="R53" s="37"/>
    </row>
    <row r="54" spans="2:18" x14ac:dyDescent="0.3">
      <c r="B54" s="37"/>
      <c r="C54" s="37"/>
      <c r="D54" s="37"/>
      <c r="E54" s="37"/>
      <c r="F54" s="37"/>
      <c r="G54" s="37"/>
      <c r="H54" s="37"/>
      <c r="I54" s="37"/>
      <c r="J54" s="37"/>
      <c r="K54" s="37"/>
      <c r="L54" s="37"/>
      <c r="M54" s="37"/>
      <c r="N54" s="37"/>
      <c r="O54" s="37"/>
      <c r="P54" s="37"/>
      <c r="Q54" s="37"/>
      <c r="R54" s="37"/>
    </row>
    <row r="55" spans="2:18" x14ac:dyDescent="0.3">
      <c r="B55" s="37"/>
      <c r="C55" s="37"/>
      <c r="D55" s="37"/>
      <c r="E55" s="37"/>
      <c r="F55" s="37"/>
      <c r="G55" s="37"/>
      <c r="H55" s="37"/>
      <c r="I55" s="37"/>
      <c r="J55" s="37"/>
      <c r="K55" s="37"/>
      <c r="L55" s="37"/>
      <c r="M55" s="37"/>
      <c r="N55" s="37"/>
      <c r="O55" s="37"/>
      <c r="P55" s="37"/>
      <c r="Q55" s="37"/>
      <c r="R55" s="37"/>
    </row>
    <row r="56" spans="2:18" x14ac:dyDescent="0.3">
      <c r="B56" s="37"/>
      <c r="C56" s="37"/>
      <c r="D56" s="37"/>
      <c r="E56" s="37"/>
      <c r="F56" s="37"/>
      <c r="G56" s="37"/>
      <c r="H56" s="37"/>
      <c r="I56" s="37"/>
      <c r="J56" s="37"/>
      <c r="K56" s="37"/>
      <c r="L56" s="37"/>
      <c r="M56" s="37"/>
      <c r="N56" s="37"/>
      <c r="O56" s="37"/>
      <c r="P56" s="37"/>
      <c r="Q56" s="37"/>
      <c r="R56" s="37"/>
    </row>
    <row r="57" spans="2:18" x14ac:dyDescent="0.3">
      <c r="B57" s="37"/>
      <c r="C57" s="37"/>
      <c r="D57" s="37"/>
      <c r="E57" s="37"/>
      <c r="F57" s="37"/>
      <c r="G57" s="37"/>
      <c r="H57" s="37"/>
      <c r="I57" s="37"/>
      <c r="J57" s="37"/>
      <c r="K57" s="37"/>
      <c r="L57" s="37"/>
      <c r="M57" s="37"/>
      <c r="N57" s="37"/>
      <c r="O57" s="37"/>
      <c r="P57" s="37"/>
      <c r="Q57" s="37"/>
      <c r="R57" s="37"/>
    </row>
    <row r="58" spans="2:18" x14ac:dyDescent="0.3">
      <c r="B58" s="37"/>
      <c r="C58" s="37"/>
      <c r="D58" s="37"/>
      <c r="E58" s="37"/>
      <c r="F58" s="37"/>
      <c r="G58" s="37"/>
      <c r="H58" s="37"/>
      <c r="I58" s="37"/>
      <c r="J58" s="37"/>
      <c r="K58" s="37"/>
      <c r="L58" s="37"/>
      <c r="M58" s="37"/>
      <c r="N58" s="37"/>
      <c r="O58" s="37"/>
      <c r="P58" s="37"/>
      <c r="Q58" s="37"/>
      <c r="R58" s="37"/>
    </row>
    <row r="59" spans="2:18" x14ac:dyDescent="0.3">
      <c r="B59" s="37"/>
      <c r="C59" s="37"/>
      <c r="D59" s="37"/>
      <c r="E59" s="37"/>
      <c r="F59" s="37"/>
      <c r="G59" s="37"/>
      <c r="H59" s="37"/>
      <c r="I59" s="37"/>
      <c r="J59" s="37"/>
      <c r="K59" s="37"/>
      <c r="L59" s="37"/>
      <c r="M59" s="37"/>
      <c r="N59" s="37"/>
      <c r="O59" s="37"/>
      <c r="P59" s="37"/>
      <c r="Q59" s="37"/>
      <c r="R59" s="37"/>
    </row>
  </sheetData>
  <mergeCells count="20">
    <mergeCell ref="R1:S1"/>
    <mergeCell ref="A3:S3"/>
    <mergeCell ref="A4:S4"/>
    <mergeCell ref="A5:S5"/>
    <mergeCell ref="A6:S6"/>
    <mergeCell ref="R10:S10"/>
    <mergeCell ref="N9:S9"/>
    <mergeCell ref="B10:B11"/>
    <mergeCell ref="E10:E11"/>
    <mergeCell ref="H10:H11"/>
    <mergeCell ref="I10:J10"/>
    <mergeCell ref="K10:K11"/>
    <mergeCell ref="L10:M10"/>
    <mergeCell ref="N10:N11"/>
    <mergeCell ref="O10:P10"/>
    <mergeCell ref="Q10:Q11"/>
    <mergeCell ref="C10:D10"/>
    <mergeCell ref="F10:G10"/>
    <mergeCell ref="B9:G9"/>
    <mergeCell ref="H9:M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59"/>
  <sheetViews>
    <sheetView topLeftCell="F5" workbookViewId="0">
      <selection activeCell="B9" sqref="B9:G11"/>
    </sheetView>
  </sheetViews>
  <sheetFormatPr baseColWidth="10" defaultColWidth="16" defaultRowHeight="13" x14ac:dyDescent="0.3"/>
  <cols>
    <col min="1" max="1" width="45.26953125" style="1" customWidth="1"/>
    <col min="2" max="19" width="13.7265625" style="1" customWidth="1"/>
    <col min="20" max="256" width="16" style="1"/>
    <col min="257" max="257" width="45.26953125" style="1" customWidth="1"/>
    <col min="258" max="275" width="13.7265625" style="1" customWidth="1"/>
    <col min="276" max="512" width="16" style="1"/>
    <col min="513" max="513" width="45.26953125" style="1" customWidth="1"/>
    <col min="514" max="531" width="13.7265625" style="1" customWidth="1"/>
    <col min="532" max="768" width="16" style="1"/>
    <col min="769" max="769" width="45.26953125" style="1" customWidth="1"/>
    <col min="770" max="787" width="13.7265625" style="1" customWidth="1"/>
    <col min="788" max="1024" width="16" style="1"/>
    <col min="1025" max="1025" width="45.26953125" style="1" customWidth="1"/>
    <col min="1026" max="1043" width="13.7265625" style="1" customWidth="1"/>
    <col min="1044" max="1280" width="16" style="1"/>
    <col min="1281" max="1281" width="45.26953125" style="1" customWidth="1"/>
    <col min="1282" max="1299" width="13.7265625" style="1" customWidth="1"/>
    <col min="1300" max="1536" width="16" style="1"/>
    <col min="1537" max="1537" width="45.26953125" style="1" customWidth="1"/>
    <col min="1538" max="1555" width="13.7265625" style="1" customWidth="1"/>
    <col min="1556" max="1792" width="16" style="1"/>
    <col min="1793" max="1793" width="45.26953125" style="1" customWidth="1"/>
    <col min="1794" max="1811" width="13.7265625" style="1" customWidth="1"/>
    <col min="1812" max="2048" width="16" style="1"/>
    <col min="2049" max="2049" width="45.26953125" style="1" customWidth="1"/>
    <col min="2050" max="2067" width="13.7265625" style="1" customWidth="1"/>
    <col min="2068" max="2304" width="16" style="1"/>
    <col min="2305" max="2305" width="45.26953125" style="1" customWidth="1"/>
    <col min="2306" max="2323" width="13.7265625" style="1" customWidth="1"/>
    <col min="2324" max="2560" width="16" style="1"/>
    <col min="2561" max="2561" width="45.26953125" style="1" customWidth="1"/>
    <col min="2562" max="2579" width="13.7265625" style="1" customWidth="1"/>
    <col min="2580" max="2816" width="16" style="1"/>
    <col min="2817" max="2817" width="45.26953125" style="1" customWidth="1"/>
    <col min="2818" max="2835" width="13.7265625" style="1" customWidth="1"/>
    <col min="2836" max="3072" width="16" style="1"/>
    <col min="3073" max="3073" width="45.26953125" style="1" customWidth="1"/>
    <col min="3074" max="3091" width="13.7265625" style="1" customWidth="1"/>
    <col min="3092" max="3328" width="16" style="1"/>
    <col min="3329" max="3329" width="45.26953125" style="1" customWidth="1"/>
    <col min="3330" max="3347" width="13.7265625" style="1" customWidth="1"/>
    <col min="3348" max="3584" width="16" style="1"/>
    <col min="3585" max="3585" width="45.26953125" style="1" customWidth="1"/>
    <col min="3586" max="3603" width="13.7265625" style="1" customWidth="1"/>
    <col min="3604" max="3840" width="16" style="1"/>
    <col min="3841" max="3841" width="45.26953125" style="1" customWidth="1"/>
    <col min="3842" max="3859" width="13.7265625" style="1" customWidth="1"/>
    <col min="3860" max="4096" width="16" style="1"/>
    <col min="4097" max="4097" width="45.26953125" style="1" customWidth="1"/>
    <col min="4098" max="4115" width="13.7265625" style="1" customWidth="1"/>
    <col min="4116" max="4352" width="16" style="1"/>
    <col min="4353" max="4353" width="45.26953125" style="1" customWidth="1"/>
    <col min="4354" max="4371" width="13.7265625" style="1" customWidth="1"/>
    <col min="4372" max="4608" width="16" style="1"/>
    <col min="4609" max="4609" width="45.26953125" style="1" customWidth="1"/>
    <col min="4610" max="4627" width="13.7265625" style="1" customWidth="1"/>
    <col min="4628" max="4864" width="16" style="1"/>
    <col min="4865" max="4865" width="45.26953125" style="1" customWidth="1"/>
    <col min="4866" max="4883" width="13.7265625" style="1" customWidth="1"/>
    <col min="4884" max="5120" width="16" style="1"/>
    <col min="5121" max="5121" width="45.26953125" style="1" customWidth="1"/>
    <col min="5122" max="5139" width="13.7265625" style="1" customWidth="1"/>
    <col min="5140" max="5376" width="16" style="1"/>
    <col min="5377" max="5377" width="45.26953125" style="1" customWidth="1"/>
    <col min="5378" max="5395" width="13.7265625" style="1" customWidth="1"/>
    <col min="5396" max="5632" width="16" style="1"/>
    <col min="5633" max="5633" width="45.26953125" style="1" customWidth="1"/>
    <col min="5634" max="5651" width="13.7265625" style="1" customWidth="1"/>
    <col min="5652" max="5888" width="16" style="1"/>
    <col min="5889" max="5889" width="45.26953125" style="1" customWidth="1"/>
    <col min="5890" max="5907" width="13.7265625" style="1" customWidth="1"/>
    <col min="5908" max="6144" width="16" style="1"/>
    <col min="6145" max="6145" width="45.26953125" style="1" customWidth="1"/>
    <col min="6146" max="6163" width="13.7265625" style="1" customWidth="1"/>
    <col min="6164" max="6400" width="16" style="1"/>
    <col min="6401" max="6401" width="45.26953125" style="1" customWidth="1"/>
    <col min="6402" max="6419" width="13.7265625" style="1" customWidth="1"/>
    <col min="6420" max="6656" width="16" style="1"/>
    <col min="6657" max="6657" width="45.26953125" style="1" customWidth="1"/>
    <col min="6658" max="6675" width="13.7265625" style="1" customWidth="1"/>
    <col min="6676" max="6912" width="16" style="1"/>
    <col min="6913" max="6913" width="45.26953125" style="1" customWidth="1"/>
    <col min="6914" max="6931" width="13.7265625" style="1" customWidth="1"/>
    <col min="6932" max="7168" width="16" style="1"/>
    <col min="7169" max="7169" width="45.26953125" style="1" customWidth="1"/>
    <col min="7170" max="7187" width="13.7265625" style="1" customWidth="1"/>
    <col min="7188" max="7424" width="16" style="1"/>
    <col min="7425" max="7425" width="45.26953125" style="1" customWidth="1"/>
    <col min="7426" max="7443" width="13.7265625" style="1" customWidth="1"/>
    <col min="7444" max="7680" width="16" style="1"/>
    <col min="7681" max="7681" width="45.26953125" style="1" customWidth="1"/>
    <col min="7682" max="7699" width="13.7265625" style="1" customWidth="1"/>
    <col min="7700" max="7936" width="16" style="1"/>
    <col min="7937" max="7937" width="45.26953125" style="1" customWidth="1"/>
    <col min="7938" max="7955" width="13.7265625" style="1" customWidth="1"/>
    <col min="7956" max="8192" width="16" style="1"/>
    <col min="8193" max="8193" width="45.26953125" style="1" customWidth="1"/>
    <col min="8194" max="8211" width="13.7265625" style="1" customWidth="1"/>
    <col min="8212" max="8448" width="16" style="1"/>
    <col min="8449" max="8449" width="45.26953125" style="1" customWidth="1"/>
    <col min="8450" max="8467" width="13.7265625" style="1" customWidth="1"/>
    <col min="8468" max="8704" width="16" style="1"/>
    <col min="8705" max="8705" width="45.26953125" style="1" customWidth="1"/>
    <col min="8706" max="8723" width="13.7265625" style="1" customWidth="1"/>
    <col min="8724" max="8960" width="16" style="1"/>
    <col min="8961" max="8961" width="45.26953125" style="1" customWidth="1"/>
    <col min="8962" max="8979" width="13.7265625" style="1" customWidth="1"/>
    <col min="8980" max="9216" width="16" style="1"/>
    <col min="9217" max="9217" width="45.26953125" style="1" customWidth="1"/>
    <col min="9218" max="9235" width="13.7265625" style="1" customWidth="1"/>
    <col min="9236" max="9472" width="16" style="1"/>
    <col min="9473" max="9473" width="45.26953125" style="1" customWidth="1"/>
    <col min="9474" max="9491" width="13.7265625" style="1" customWidth="1"/>
    <col min="9492" max="9728" width="16" style="1"/>
    <col min="9729" max="9729" width="45.26953125" style="1" customWidth="1"/>
    <col min="9730" max="9747" width="13.7265625" style="1" customWidth="1"/>
    <col min="9748" max="9984" width="16" style="1"/>
    <col min="9985" max="9985" width="45.26953125" style="1" customWidth="1"/>
    <col min="9986" max="10003" width="13.7265625" style="1" customWidth="1"/>
    <col min="10004" max="10240" width="16" style="1"/>
    <col min="10241" max="10241" width="45.26953125" style="1" customWidth="1"/>
    <col min="10242" max="10259" width="13.7265625" style="1" customWidth="1"/>
    <col min="10260" max="10496" width="16" style="1"/>
    <col min="10497" max="10497" width="45.26953125" style="1" customWidth="1"/>
    <col min="10498" max="10515" width="13.7265625" style="1" customWidth="1"/>
    <col min="10516" max="10752" width="16" style="1"/>
    <col min="10753" max="10753" width="45.26953125" style="1" customWidth="1"/>
    <col min="10754" max="10771" width="13.7265625" style="1" customWidth="1"/>
    <col min="10772" max="11008" width="16" style="1"/>
    <col min="11009" max="11009" width="45.26953125" style="1" customWidth="1"/>
    <col min="11010" max="11027" width="13.7265625" style="1" customWidth="1"/>
    <col min="11028" max="11264" width="16" style="1"/>
    <col min="11265" max="11265" width="45.26953125" style="1" customWidth="1"/>
    <col min="11266" max="11283" width="13.7265625" style="1" customWidth="1"/>
    <col min="11284" max="11520" width="16" style="1"/>
    <col min="11521" max="11521" width="45.26953125" style="1" customWidth="1"/>
    <col min="11522" max="11539" width="13.7265625" style="1" customWidth="1"/>
    <col min="11540" max="11776" width="16" style="1"/>
    <col min="11777" max="11777" width="45.26953125" style="1" customWidth="1"/>
    <col min="11778" max="11795" width="13.7265625" style="1" customWidth="1"/>
    <col min="11796" max="12032" width="16" style="1"/>
    <col min="12033" max="12033" width="45.26953125" style="1" customWidth="1"/>
    <col min="12034" max="12051" width="13.7265625" style="1" customWidth="1"/>
    <col min="12052" max="12288" width="16" style="1"/>
    <col min="12289" max="12289" width="45.26953125" style="1" customWidth="1"/>
    <col min="12290" max="12307" width="13.7265625" style="1" customWidth="1"/>
    <col min="12308" max="12544" width="16" style="1"/>
    <col min="12545" max="12545" width="45.26953125" style="1" customWidth="1"/>
    <col min="12546" max="12563" width="13.7265625" style="1" customWidth="1"/>
    <col min="12564" max="12800" width="16" style="1"/>
    <col min="12801" max="12801" width="45.26953125" style="1" customWidth="1"/>
    <col min="12802" max="12819" width="13.7265625" style="1" customWidth="1"/>
    <col min="12820" max="13056" width="16" style="1"/>
    <col min="13057" max="13057" width="45.26953125" style="1" customWidth="1"/>
    <col min="13058" max="13075" width="13.7265625" style="1" customWidth="1"/>
    <col min="13076" max="13312" width="16" style="1"/>
    <col min="13313" max="13313" width="45.26953125" style="1" customWidth="1"/>
    <col min="13314" max="13331" width="13.7265625" style="1" customWidth="1"/>
    <col min="13332" max="13568" width="16" style="1"/>
    <col min="13569" max="13569" width="45.26953125" style="1" customWidth="1"/>
    <col min="13570" max="13587" width="13.7265625" style="1" customWidth="1"/>
    <col min="13588" max="13824" width="16" style="1"/>
    <col min="13825" max="13825" width="45.26953125" style="1" customWidth="1"/>
    <col min="13826" max="13843" width="13.7265625" style="1" customWidth="1"/>
    <col min="13844" max="14080" width="16" style="1"/>
    <col min="14081" max="14081" width="45.26953125" style="1" customWidth="1"/>
    <col min="14082" max="14099" width="13.7265625" style="1" customWidth="1"/>
    <col min="14100" max="14336" width="16" style="1"/>
    <col min="14337" max="14337" width="45.26953125" style="1" customWidth="1"/>
    <col min="14338" max="14355" width="13.7265625" style="1" customWidth="1"/>
    <col min="14356" max="14592" width="16" style="1"/>
    <col min="14593" max="14593" width="45.26953125" style="1" customWidth="1"/>
    <col min="14594" max="14611" width="13.7265625" style="1" customWidth="1"/>
    <col min="14612" max="14848" width="16" style="1"/>
    <col min="14849" max="14849" width="45.26953125" style="1" customWidth="1"/>
    <col min="14850" max="14867" width="13.7265625" style="1" customWidth="1"/>
    <col min="14868" max="15104" width="16" style="1"/>
    <col min="15105" max="15105" width="45.26953125" style="1" customWidth="1"/>
    <col min="15106" max="15123" width="13.7265625" style="1" customWidth="1"/>
    <col min="15124" max="15360" width="16" style="1"/>
    <col min="15361" max="15361" width="45.26953125" style="1" customWidth="1"/>
    <col min="15362" max="15379" width="13.7265625" style="1" customWidth="1"/>
    <col min="15380" max="15616" width="16" style="1"/>
    <col min="15617" max="15617" width="45.26953125" style="1" customWidth="1"/>
    <col min="15618" max="15635" width="13.7265625" style="1" customWidth="1"/>
    <col min="15636" max="15872" width="16" style="1"/>
    <col min="15873" max="15873" width="45.26953125" style="1" customWidth="1"/>
    <col min="15874" max="15891" width="13.7265625" style="1" customWidth="1"/>
    <col min="15892" max="16128" width="16" style="1"/>
    <col min="16129" max="16129" width="45.26953125" style="1" customWidth="1"/>
    <col min="16130" max="16147" width="13.7265625" style="1" customWidth="1"/>
    <col min="16148" max="16384" width="16" style="1"/>
  </cols>
  <sheetData>
    <row r="1" spans="1:19" ht="18" customHeight="1" thickBot="1" x14ac:dyDescent="0.35">
      <c r="R1" s="799" t="s">
        <v>66</v>
      </c>
      <c r="S1" s="800"/>
    </row>
    <row r="3" spans="1:19" ht="23.5" x14ac:dyDescent="0.55000000000000004">
      <c r="A3" s="783" t="s">
        <v>67</v>
      </c>
      <c r="B3" s="783"/>
      <c r="C3" s="783"/>
      <c r="D3" s="783"/>
      <c r="E3" s="783"/>
      <c r="F3" s="783"/>
      <c r="G3" s="783"/>
      <c r="H3" s="783"/>
      <c r="I3" s="783"/>
      <c r="J3" s="783"/>
      <c r="K3" s="783"/>
      <c r="L3" s="783"/>
      <c r="M3" s="783"/>
      <c r="N3" s="783"/>
      <c r="O3" s="783"/>
      <c r="P3" s="783"/>
      <c r="Q3" s="783"/>
      <c r="R3" s="783"/>
      <c r="S3" s="783"/>
    </row>
    <row r="4" spans="1:19" ht="23.5" x14ac:dyDescent="0.55000000000000004">
      <c r="A4" s="783" t="s">
        <v>3</v>
      </c>
      <c r="B4" s="783"/>
      <c r="C4" s="783"/>
      <c r="D4" s="783"/>
      <c r="E4" s="783"/>
      <c r="F4" s="783"/>
      <c r="G4" s="783"/>
      <c r="H4" s="783"/>
      <c r="I4" s="783"/>
      <c r="J4" s="783"/>
      <c r="K4" s="783"/>
      <c r="L4" s="783"/>
      <c r="M4" s="783"/>
      <c r="N4" s="783"/>
      <c r="O4" s="783"/>
      <c r="P4" s="783"/>
      <c r="Q4" s="783"/>
      <c r="R4" s="783"/>
      <c r="S4" s="783"/>
    </row>
    <row r="5" spans="1:19" ht="18" customHeight="1" x14ac:dyDescent="0.45">
      <c r="A5" s="784" t="s">
        <v>73</v>
      </c>
      <c r="B5" s="784"/>
      <c r="C5" s="784"/>
      <c r="D5" s="784"/>
      <c r="E5" s="784"/>
      <c r="F5" s="784"/>
      <c r="G5" s="784"/>
      <c r="H5" s="784"/>
      <c r="I5" s="784"/>
      <c r="J5" s="784"/>
      <c r="K5" s="784"/>
      <c r="L5" s="784"/>
      <c r="M5" s="784"/>
      <c r="N5" s="784"/>
      <c r="O5" s="784"/>
      <c r="P5" s="784"/>
      <c r="Q5" s="784"/>
      <c r="R5" s="784"/>
      <c r="S5" s="784"/>
    </row>
    <row r="6" spans="1:19" ht="18" customHeight="1" x14ac:dyDescent="0.45">
      <c r="A6" s="784" t="s">
        <v>36</v>
      </c>
      <c r="B6" s="784"/>
      <c r="C6" s="784"/>
      <c r="D6" s="784"/>
      <c r="E6" s="784"/>
      <c r="F6" s="784"/>
      <c r="G6" s="784"/>
      <c r="H6" s="784"/>
      <c r="I6" s="784"/>
      <c r="J6" s="784"/>
      <c r="K6" s="784"/>
      <c r="L6" s="784"/>
      <c r="M6" s="784"/>
      <c r="N6" s="784"/>
      <c r="O6" s="784"/>
      <c r="P6" s="784"/>
      <c r="Q6" s="784"/>
      <c r="R6" s="784"/>
      <c r="S6" s="784"/>
    </row>
    <row r="7" spans="1:19" ht="15.5" x14ac:dyDescent="0.35">
      <c r="A7" s="19"/>
      <c r="B7" s="19"/>
      <c r="C7" s="19"/>
      <c r="D7" s="19"/>
      <c r="E7" s="19"/>
      <c r="F7" s="19"/>
      <c r="G7" s="19"/>
      <c r="H7" s="19"/>
      <c r="I7" s="19"/>
      <c r="J7" s="19"/>
      <c r="K7" s="19"/>
      <c r="L7" s="19"/>
      <c r="M7" s="19"/>
      <c r="N7" s="19"/>
      <c r="O7" s="19"/>
      <c r="P7" s="19"/>
      <c r="Q7" s="19"/>
      <c r="R7" s="20"/>
      <c r="S7" s="20"/>
    </row>
    <row r="8" spans="1:19" ht="16" thickBot="1" x14ac:dyDescent="0.4">
      <c r="A8" s="19"/>
      <c r="B8" s="19"/>
      <c r="C8" s="19"/>
      <c r="D8" s="19"/>
      <c r="E8" s="19"/>
      <c r="F8" s="19"/>
      <c r="G8" s="19"/>
      <c r="H8" s="19"/>
      <c r="I8" s="19"/>
      <c r="J8" s="19"/>
      <c r="K8" s="19"/>
      <c r="L8" s="19"/>
      <c r="M8" s="19"/>
      <c r="N8" s="19"/>
      <c r="O8" s="19"/>
      <c r="P8" s="19"/>
      <c r="Q8" s="19"/>
      <c r="R8" s="20"/>
      <c r="S8" s="20"/>
    </row>
    <row r="9" spans="1:19" ht="15" customHeight="1" thickBot="1" x14ac:dyDescent="0.35">
      <c r="A9" s="21"/>
      <c r="B9" s="791" t="s">
        <v>37</v>
      </c>
      <c r="C9" s="792"/>
      <c r="D9" s="792"/>
      <c r="E9" s="792"/>
      <c r="F9" s="792"/>
      <c r="G9" s="793"/>
      <c r="H9" s="791" t="s">
        <v>38</v>
      </c>
      <c r="I9" s="792"/>
      <c r="J9" s="792"/>
      <c r="K9" s="792"/>
      <c r="L9" s="792"/>
      <c r="M9" s="793"/>
      <c r="N9" s="794" t="s">
        <v>39</v>
      </c>
      <c r="O9" s="795"/>
      <c r="P9" s="795"/>
      <c r="Q9" s="795"/>
      <c r="R9" s="795"/>
      <c r="S9" s="796"/>
    </row>
    <row r="10" spans="1:19" ht="15" customHeight="1" thickBot="1" x14ac:dyDescent="0.35">
      <c r="A10" s="22" t="s">
        <v>40</v>
      </c>
      <c r="B10" s="785" t="s">
        <v>41</v>
      </c>
      <c r="C10" s="791" t="s">
        <v>42</v>
      </c>
      <c r="D10" s="793"/>
      <c r="E10" s="785" t="s">
        <v>43</v>
      </c>
      <c r="F10" s="797" t="s">
        <v>44</v>
      </c>
      <c r="G10" s="798"/>
      <c r="H10" s="785" t="s">
        <v>41</v>
      </c>
      <c r="I10" s="791" t="s">
        <v>42</v>
      </c>
      <c r="J10" s="793"/>
      <c r="K10" s="785" t="s">
        <v>43</v>
      </c>
      <c r="L10" s="791" t="s">
        <v>44</v>
      </c>
      <c r="M10" s="793"/>
      <c r="N10" s="785" t="s">
        <v>41</v>
      </c>
      <c r="O10" s="791" t="s">
        <v>42</v>
      </c>
      <c r="P10" s="793"/>
      <c r="Q10" s="785" t="s">
        <v>43</v>
      </c>
      <c r="R10" s="797" t="s">
        <v>44</v>
      </c>
      <c r="S10" s="798"/>
    </row>
    <row r="11" spans="1:19" ht="39" customHeight="1" thickBot="1" x14ac:dyDescent="0.35">
      <c r="A11" s="23"/>
      <c r="B11" s="787"/>
      <c r="C11" s="24" t="s">
        <v>45</v>
      </c>
      <c r="D11" s="24" t="s">
        <v>11</v>
      </c>
      <c r="E11" s="787"/>
      <c r="F11" s="25" t="s">
        <v>69</v>
      </c>
      <c r="G11" s="25" t="s">
        <v>47</v>
      </c>
      <c r="H11" s="787"/>
      <c r="I11" s="24" t="s">
        <v>45</v>
      </c>
      <c r="J11" s="24" t="s">
        <v>11</v>
      </c>
      <c r="K11" s="787"/>
      <c r="L11" s="25" t="s">
        <v>46</v>
      </c>
      <c r="M11" s="25" t="s">
        <v>47</v>
      </c>
      <c r="N11" s="787"/>
      <c r="O11" s="24" t="s">
        <v>45</v>
      </c>
      <c r="P11" s="24" t="s">
        <v>11</v>
      </c>
      <c r="Q11" s="787"/>
      <c r="R11" s="25" t="s">
        <v>46</v>
      </c>
      <c r="S11" s="25" t="s">
        <v>47</v>
      </c>
    </row>
    <row r="12" spans="1:19" ht="15" customHeight="1" x14ac:dyDescent="0.3">
      <c r="A12" s="6"/>
      <c r="B12" s="6"/>
      <c r="C12" s="6"/>
      <c r="D12" s="6"/>
      <c r="E12" s="6"/>
      <c r="F12" s="6"/>
      <c r="G12" s="6"/>
      <c r="H12" s="6"/>
      <c r="I12" s="6"/>
      <c r="J12" s="6"/>
      <c r="K12" s="6"/>
      <c r="L12" s="6"/>
      <c r="M12" s="6"/>
      <c r="N12" s="6"/>
      <c r="O12" s="6"/>
      <c r="P12" s="6"/>
      <c r="Q12" s="6"/>
      <c r="R12" s="6"/>
      <c r="S12" s="6"/>
    </row>
    <row r="13" spans="1:19" ht="15" customHeight="1" x14ac:dyDescent="0.3">
      <c r="A13" s="27" t="s">
        <v>39</v>
      </c>
      <c r="B13" s="28">
        <v>495860009.37</v>
      </c>
      <c r="C13" s="28">
        <v>556792</v>
      </c>
      <c r="D13" s="28">
        <v>266222894.32999998</v>
      </c>
      <c r="E13" s="28">
        <v>2495608.36</v>
      </c>
      <c r="F13" s="28">
        <v>2144465.8200000003</v>
      </c>
      <c r="G13" s="28">
        <v>30769.8</v>
      </c>
      <c r="H13" s="28">
        <v>30642243.390000001</v>
      </c>
      <c r="I13" s="28">
        <v>79971</v>
      </c>
      <c r="J13" s="28">
        <v>12753398.180000002</v>
      </c>
      <c r="K13" s="28">
        <v>7429</v>
      </c>
      <c r="L13" s="28">
        <v>1502444</v>
      </c>
      <c r="M13" s="31">
        <v>0</v>
      </c>
      <c r="N13" s="28">
        <v>526502252.75999999</v>
      </c>
      <c r="O13" s="28">
        <v>636763</v>
      </c>
      <c r="P13" s="28">
        <v>278976292.50999999</v>
      </c>
      <c r="Q13" s="28">
        <v>2503037.36</v>
      </c>
      <c r="R13" s="28">
        <v>3646909.8200000003</v>
      </c>
      <c r="S13" s="28">
        <v>30769.8</v>
      </c>
    </row>
    <row r="14" spans="1:19" ht="15" customHeight="1" x14ac:dyDescent="0.3">
      <c r="A14" s="6"/>
      <c r="B14" s="30"/>
      <c r="C14" s="30"/>
      <c r="D14" s="30"/>
      <c r="E14" s="30"/>
      <c r="F14" s="30"/>
      <c r="G14" s="30"/>
      <c r="H14" s="30"/>
      <c r="I14" s="30"/>
      <c r="J14" s="30"/>
      <c r="K14" s="30"/>
      <c r="L14" s="30"/>
      <c r="M14" s="31"/>
      <c r="N14" s="30"/>
      <c r="O14" s="30"/>
      <c r="P14" s="30"/>
      <c r="Q14" s="30"/>
      <c r="R14" s="30"/>
      <c r="S14" s="30"/>
    </row>
    <row r="15" spans="1:19" ht="15" customHeight="1" x14ac:dyDescent="0.3">
      <c r="A15" s="11" t="s">
        <v>48</v>
      </c>
      <c r="B15" s="28">
        <v>130063593.22</v>
      </c>
      <c r="C15" s="28">
        <v>24153</v>
      </c>
      <c r="D15" s="28">
        <v>49368170.289999999</v>
      </c>
      <c r="E15" s="28">
        <v>2495608.36</v>
      </c>
      <c r="F15" s="28">
        <v>2144429.8200000003</v>
      </c>
      <c r="G15" s="28">
        <v>26985.119999999999</v>
      </c>
      <c r="H15" s="28">
        <v>14643744.140000001</v>
      </c>
      <c r="I15" s="28">
        <v>359</v>
      </c>
      <c r="J15" s="28">
        <v>3276657</v>
      </c>
      <c r="K15" s="28">
        <v>7429</v>
      </c>
      <c r="L15" s="28">
        <v>1502444</v>
      </c>
      <c r="M15" s="31">
        <v>0</v>
      </c>
      <c r="N15" s="28">
        <v>144707337.36000001</v>
      </c>
      <c r="O15" s="28">
        <v>24512</v>
      </c>
      <c r="P15" s="28">
        <v>52644827.289999999</v>
      </c>
      <c r="Q15" s="28">
        <v>2503037.36</v>
      </c>
      <c r="R15" s="28">
        <v>3646873.8200000003</v>
      </c>
      <c r="S15" s="28">
        <v>26985.119999999999</v>
      </c>
    </row>
    <row r="16" spans="1:19" ht="15" customHeight="1" x14ac:dyDescent="0.3">
      <c r="A16" s="6"/>
      <c r="B16" s="30"/>
      <c r="C16" s="30"/>
      <c r="D16" s="30"/>
      <c r="E16" s="30"/>
      <c r="F16" s="30"/>
      <c r="G16" s="30"/>
      <c r="H16" s="30"/>
      <c r="I16" s="30"/>
      <c r="J16" s="30"/>
      <c r="K16" s="30"/>
      <c r="L16" s="30"/>
      <c r="M16" s="31"/>
      <c r="N16" s="30"/>
      <c r="O16" s="30"/>
      <c r="P16" s="30"/>
      <c r="Q16" s="30"/>
      <c r="R16" s="30"/>
      <c r="S16" s="30"/>
    </row>
    <row r="17" spans="1:19" ht="15" customHeight="1" x14ac:dyDescent="0.3">
      <c r="A17" s="6" t="s">
        <v>49</v>
      </c>
      <c r="B17" s="29">
        <v>13917895.219999999</v>
      </c>
      <c r="C17" s="29">
        <v>402</v>
      </c>
      <c r="D17" s="29">
        <v>2014422.0499999998</v>
      </c>
      <c r="E17" s="29">
        <v>2467590.36</v>
      </c>
      <c r="F17" s="29">
        <v>2088837.8200000003</v>
      </c>
      <c r="G17" s="29">
        <v>26985.119999999999</v>
      </c>
      <c r="H17" s="30">
        <v>10041895</v>
      </c>
      <c r="I17" s="30">
        <v>25</v>
      </c>
      <c r="J17" s="30">
        <v>1599571</v>
      </c>
      <c r="K17" s="30">
        <v>7429</v>
      </c>
      <c r="L17" s="30">
        <v>1502444</v>
      </c>
      <c r="M17" s="31">
        <v>0</v>
      </c>
      <c r="N17" s="30">
        <v>23959790.219999999</v>
      </c>
      <c r="O17" s="30">
        <v>427</v>
      </c>
      <c r="P17" s="30">
        <v>3613993.05</v>
      </c>
      <c r="Q17" s="30">
        <v>2475019.36</v>
      </c>
      <c r="R17" s="30">
        <v>3591281.8200000003</v>
      </c>
      <c r="S17" s="33">
        <v>26985.119999999999</v>
      </c>
    </row>
    <row r="18" spans="1:19" ht="15" customHeight="1" x14ac:dyDescent="0.3">
      <c r="A18" s="6" t="s">
        <v>50</v>
      </c>
      <c r="B18" s="30">
        <v>39989180</v>
      </c>
      <c r="C18" s="30">
        <v>8800</v>
      </c>
      <c r="D18" s="30">
        <v>15571078</v>
      </c>
      <c r="E18" s="30">
        <v>28018</v>
      </c>
      <c r="F18" s="30">
        <v>55592</v>
      </c>
      <c r="G18" s="33">
        <v>0</v>
      </c>
      <c r="H18" s="29">
        <v>668341.06999999995</v>
      </c>
      <c r="I18" s="29">
        <v>0</v>
      </c>
      <c r="J18" s="29">
        <v>0</v>
      </c>
      <c r="K18" s="29">
        <v>0</v>
      </c>
      <c r="L18" s="29">
        <v>0</v>
      </c>
      <c r="M18" s="31">
        <v>0</v>
      </c>
      <c r="N18" s="30">
        <v>40657521.07</v>
      </c>
      <c r="O18" s="30">
        <v>8800</v>
      </c>
      <c r="P18" s="30">
        <v>15571078</v>
      </c>
      <c r="Q18" s="30">
        <v>28018</v>
      </c>
      <c r="R18" s="30">
        <v>55592</v>
      </c>
      <c r="S18" s="33">
        <v>0</v>
      </c>
    </row>
    <row r="19" spans="1:19" ht="15" customHeight="1" x14ac:dyDescent="0.3">
      <c r="A19" s="6" t="s">
        <v>51</v>
      </c>
      <c r="B19" s="30">
        <v>76156518</v>
      </c>
      <c r="C19" s="30">
        <v>14951</v>
      </c>
      <c r="D19" s="30">
        <v>31782670.239999998</v>
      </c>
      <c r="E19" s="33">
        <v>0</v>
      </c>
      <c r="F19" s="33">
        <v>0</v>
      </c>
      <c r="G19" s="33">
        <v>0</v>
      </c>
      <c r="H19" s="30">
        <v>3933508.07</v>
      </c>
      <c r="I19" s="30">
        <v>334</v>
      </c>
      <c r="J19" s="30">
        <v>1677086</v>
      </c>
      <c r="K19" s="29">
        <v>0</v>
      </c>
      <c r="L19" s="29">
        <v>0</v>
      </c>
      <c r="M19" s="31">
        <v>0</v>
      </c>
      <c r="N19" s="30">
        <v>80090026.069999993</v>
      </c>
      <c r="O19" s="30">
        <v>15285</v>
      </c>
      <c r="P19" s="30">
        <v>33459756.239999998</v>
      </c>
      <c r="Q19" s="33">
        <v>0</v>
      </c>
      <c r="R19" s="33">
        <v>0</v>
      </c>
      <c r="S19" s="33">
        <v>0</v>
      </c>
    </row>
    <row r="20" spans="1:19" ht="15" customHeight="1" x14ac:dyDescent="0.3">
      <c r="A20" s="6"/>
      <c r="B20" s="30"/>
      <c r="C20" s="30"/>
      <c r="D20" s="30"/>
      <c r="E20" s="30"/>
      <c r="F20" s="30"/>
      <c r="G20" s="30"/>
      <c r="H20" s="29"/>
      <c r="I20" s="29"/>
      <c r="J20" s="29"/>
      <c r="K20" s="29"/>
      <c r="L20" s="29"/>
      <c r="M20" s="31"/>
      <c r="N20" s="30"/>
      <c r="O20" s="30"/>
      <c r="P20" s="30"/>
      <c r="Q20" s="30"/>
      <c r="R20" s="30"/>
      <c r="S20" s="30"/>
    </row>
    <row r="21" spans="1:19" ht="15" customHeight="1" x14ac:dyDescent="0.3">
      <c r="A21" s="11" t="s">
        <v>52</v>
      </c>
      <c r="B21" s="28">
        <v>52131093.650000006</v>
      </c>
      <c r="C21" s="28">
        <v>8684</v>
      </c>
      <c r="D21" s="28">
        <v>39463864.149999999</v>
      </c>
      <c r="E21" s="33">
        <v>0</v>
      </c>
      <c r="F21" s="33">
        <v>36</v>
      </c>
      <c r="G21" s="33">
        <v>3784.6799999999989</v>
      </c>
      <c r="H21" s="33">
        <v>0</v>
      </c>
      <c r="I21" s="33">
        <v>36</v>
      </c>
      <c r="J21" s="33">
        <v>3785</v>
      </c>
      <c r="K21" s="33"/>
      <c r="L21" s="33"/>
      <c r="M21" s="31"/>
      <c r="N21" s="28">
        <v>52131093.650000006</v>
      </c>
      <c r="O21" s="28">
        <v>8720</v>
      </c>
      <c r="P21" s="28">
        <v>39467649.149999999</v>
      </c>
      <c r="Q21" s="33">
        <v>0</v>
      </c>
      <c r="R21" s="33">
        <v>36</v>
      </c>
      <c r="S21" s="33">
        <v>3784.6799999999989</v>
      </c>
    </row>
    <row r="22" spans="1:19" ht="15" customHeight="1" x14ac:dyDescent="0.3">
      <c r="A22" s="6"/>
      <c r="B22" s="30"/>
      <c r="C22" s="30"/>
      <c r="D22" s="30"/>
      <c r="E22" s="30"/>
      <c r="F22" s="30"/>
      <c r="G22" s="30"/>
      <c r="H22" s="30"/>
      <c r="I22" s="30"/>
      <c r="J22" s="30"/>
      <c r="K22" s="30"/>
      <c r="L22" s="30"/>
      <c r="M22" s="30"/>
      <c r="N22" s="30"/>
      <c r="O22" s="30"/>
      <c r="P22" s="30"/>
      <c r="Q22" s="31"/>
      <c r="R22" s="31"/>
      <c r="S22" s="28"/>
    </row>
    <row r="23" spans="1:19" ht="15" customHeight="1" x14ac:dyDescent="0.3">
      <c r="A23" s="11" t="s">
        <v>1</v>
      </c>
      <c r="B23" s="28">
        <v>80500347.790000007</v>
      </c>
      <c r="C23" s="28">
        <v>448254</v>
      </c>
      <c r="D23" s="28">
        <v>64307726.079999998</v>
      </c>
      <c r="E23" s="31">
        <v>0</v>
      </c>
      <c r="F23" s="31">
        <v>0</v>
      </c>
      <c r="G23" s="31">
        <v>0</v>
      </c>
      <c r="H23" s="28">
        <v>15998499.25</v>
      </c>
      <c r="I23" s="28">
        <v>79576</v>
      </c>
      <c r="J23" s="28">
        <v>9472956.1800000016</v>
      </c>
      <c r="K23" s="31">
        <v>0</v>
      </c>
      <c r="L23" s="31">
        <v>0</v>
      </c>
      <c r="M23" s="31">
        <v>0</v>
      </c>
      <c r="N23" s="28">
        <v>96498847.040000007</v>
      </c>
      <c r="O23" s="28">
        <v>527830</v>
      </c>
      <c r="P23" s="28">
        <v>73780682.260000005</v>
      </c>
      <c r="Q23" s="33">
        <v>0</v>
      </c>
      <c r="R23" s="33">
        <v>0</v>
      </c>
      <c r="S23" s="33">
        <v>0</v>
      </c>
    </row>
    <row r="24" spans="1:19" ht="15" customHeight="1" x14ac:dyDescent="0.3">
      <c r="A24" s="6"/>
      <c r="B24" s="30"/>
      <c r="C24" s="30"/>
      <c r="D24" s="30"/>
      <c r="E24" s="30"/>
      <c r="F24" s="30"/>
      <c r="G24" s="30"/>
      <c r="H24" s="30"/>
      <c r="I24" s="30"/>
      <c r="J24" s="30"/>
      <c r="K24" s="31"/>
      <c r="L24" s="31"/>
      <c r="M24" s="31"/>
      <c r="N24" s="30"/>
      <c r="O24" s="30"/>
      <c r="P24" s="30"/>
      <c r="Q24" s="33"/>
      <c r="R24" s="33"/>
      <c r="S24" s="33"/>
    </row>
    <row r="25" spans="1:19" ht="15" customHeight="1" x14ac:dyDescent="0.3">
      <c r="A25" s="6" t="s">
        <v>53</v>
      </c>
      <c r="B25" s="30">
        <v>4241893</v>
      </c>
      <c r="C25" s="30">
        <v>5445</v>
      </c>
      <c r="D25" s="30">
        <v>1187071.93</v>
      </c>
      <c r="E25" s="31">
        <v>0</v>
      </c>
      <c r="F25" s="31">
        <v>0</v>
      </c>
      <c r="G25" s="31">
        <v>0</v>
      </c>
      <c r="H25" s="29">
        <v>247591</v>
      </c>
      <c r="I25" s="29">
        <v>6</v>
      </c>
      <c r="J25" s="29">
        <v>8000</v>
      </c>
      <c r="K25" s="31">
        <v>0</v>
      </c>
      <c r="L25" s="31">
        <v>0</v>
      </c>
      <c r="M25" s="31">
        <v>0</v>
      </c>
      <c r="N25" s="30">
        <v>4489484</v>
      </c>
      <c r="O25" s="30">
        <v>5451</v>
      </c>
      <c r="P25" s="30">
        <v>1195071.93</v>
      </c>
      <c r="Q25" s="33">
        <v>0</v>
      </c>
      <c r="R25" s="33">
        <v>0</v>
      </c>
      <c r="S25" s="33">
        <v>0</v>
      </c>
    </row>
    <row r="26" spans="1:19" ht="15" customHeight="1" x14ac:dyDescent="0.3">
      <c r="A26" s="6" t="s">
        <v>70</v>
      </c>
      <c r="B26" s="30">
        <v>76258454.790000007</v>
      </c>
      <c r="C26" s="30">
        <v>442809</v>
      </c>
      <c r="D26" s="30">
        <v>63120654.149999999</v>
      </c>
      <c r="E26" s="31">
        <v>0</v>
      </c>
      <c r="F26" s="31">
        <v>0</v>
      </c>
      <c r="G26" s="31">
        <v>0</v>
      </c>
      <c r="H26" s="30">
        <v>15750908.25</v>
      </c>
      <c r="I26" s="30">
        <v>79570</v>
      </c>
      <c r="J26" s="30">
        <v>9464956.1800000016</v>
      </c>
      <c r="K26" s="31">
        <v>0</v>
      </c>
      <c r="L26" s="31">
        <v>0</v>
      </c>
      <c r="M26" s="31">
        <v>0</v>
      </c>
      <c r="N26" s="30">
        <v>92009363.040000007</v>
      </c>
      <c r="O26" s="30">
        <v>522379</v>
      </c>
      <c r="P26" s="30">
        <v>72585610.329999998</v>
      </c>
      <c r="Q26" s="33">
        <v>0</v>
      </c>
      <c r="R26" s="33">
        <v>0</v>
      </c>
      <c r="S26" s="33">
        <v>0</v>
      </c>
    </row>
    <row r="27" spans="1:19" ht="15" customHeight="1" x14ac:dyDescent="0.3">
      <c r="A27" s="6"/>
      <c r="B27" s="30"/>
      <c r="C27" s="30"/>
      <c r="D27" s="30"/>
      <c r="E27" s="31"/>
      <c r="F27" s="31"/>
      <c r="G27" s="31"/>
      <c r="H27" s="34"/>
      <c r="I27" s="30"/>
      <c r="J27" s="30"/>
      <c r="K27" s="31"/>
      <c r="L27" s="31"/>
      <c r="M27" s="31"/>
      <c r="N27" s="30"/>
      <c r="O27" s="30"/>
      <c r="P27" s="30"/>
      <c r="Q27" s="33"/>
      <c r="R27" s="33"/>
      <c r="S27" s="33"/>
    </row>
    <row r="28" spans="1:19" ht="15" customHeight="1" x14ac:dyDescent="0.3">
      <c r="A28" s="11" t="s">
        <v>55</v>
      </c>
      <c r="B28" s="28">
        <v>219998553.76999998</v>
      </c>
      <c r="C28" s="28">
        <v>75662</v>
      </c>
      <c r="D28" s="28">
        <v>104001465.19000001</v>
      </c>
      <c r="E28" s="31">
        <v>0</v>
      </c>
      <c r="F28" s="31">
        <v>0</v>
      </c>
      <c r="G28" s="31">
        <v>0</v>
      </c>
      <c r="H28" s="31">
        <v>0</v>
      </c>
      <c r="I28" s="31">
        <v>0</v>
      </c>
      <c r="J28" s="31">
        <v>0</v>
      </c>
      <c r="K28" s="31">
        <v>0</v>
      </c>
      <c r="L28" s="31">
        <v>0</v>
      </c>
      <c r="M28" s="31">
        <v>0</v>
      </c>
      <c r="N28" s="28">
        <v>219998553.76999998</v>
      </c>
      <c r="O28" s="28">
        <v>75662</v>
      </c>
      <c r="P28" s="28">
        <v>104001465.19000001</v>
      </c>
      <c r="Q28" s="33">
        <v>0</v>
      </c>
      <c r="R28" s="33">
        <v>0</v>
      </c>
      <c r="S28" s="33">
        <v>0</v>
      </c>
    </row>
    <row r="29" spans="1:19" ht="15" customHeight="1" x14ac:dyDescent="0.3">
      <c r="A29" s="6"/>
      <c r="B29" s="30"/>
      <c r="C29" s="30"/>
      <c r="D29" s="30"/>
      <c r="E29" s="31"/>
      <c r="F29" s="31"/>
      <c r="G29" s="31"/>
      <c r="H29" s="30"/>
      <c r="I29" s="30"/>
      <c r="J29" s="30"/>
      <c r="K29" s="30"/>
      <c r="L29" s="30"/>
      <c r="M29" s="30"/>
      <c r="N29" s="30"/>
      <c r="O29" s="30"/>
      <c r="P29" s="30"/>
      <c r="Q29" s="31"/>
      <c r="R29" s="31"/>
      <c r="S29" s="31"/>
    </row>
    <row r="30" spans="1:19" ht="15" customHeight="1" x14ac:dyDescent="0.3">
      <c r="A30" s="6" t="s">
        <v>56</v>
      </c>
      <c r="B30" s="30">
        <v>98966.68</v>
      </c>
      <c r="C30" s="30">
        <v>13</v>
      </c>
      <c r="D30" s="30">
        <v>373.92000000000007</v>
      </c>
      <c r="E30" s="31">
        <v>0</v>
      </c>
      <c r="F30" s="31">
        <v>0</v>
      </c>
      <c r="G30" s="31">
        <v>0</v>
      </c>
      <c r="H30" s="31">
        <v>0</v>
      </c>
      <c r="I30" s="31">
        <v>0</v>
      </c>
      <c r="J30" s="31">
        <v>0</v>
      </c>
      <c r="K30" s="31">
        <v>0</v>
      </c>
      <c r="L30" s="31">
        <v>0</v>
      </c>
      <c r="M30" s="31">
        <v>0</v>
      </c>
      <c r="N30" s="33">
        <v>98966.68</v>
      </c>
      <c r="O30" s="30">
        <v>13</v>
      </c>
      <c r="P30" s="30">
        <v>373.92000000000007</v>
      </c>
      <c r="Q30" s="33">
        <v>0</v>
      </c>
      <c r="R30" s="33">
        <v>0</v>
      </c>
      <c r="S30" s="33">
        <v>0</v>
      </c>
    </row>
    <row r="31" spans="1:19" ht="15" customHeight="1" x14ac:dyDescent="0.3">
      <c r="A31" s="6" t="s">
        <v>57</v>
      </c>
      <c r="B31" s="30">
        <v>86794769.389999986</v>
      </c>
      <c r="C31" s="30">
        <v>9412</v>
      </c>
      <c r="D31" s="30">
        <v>32134314.710000001</v>
      </c>
      <c r="E31" s="31">
        <v>0</v>
      </c>
      <c r="F31" s="31">
        <v>0</v>
      </c>
      <c r="G31" s="31">
        <v>0</v>
      </c>
      <c r="H31" s="31">
        <v>0</v>
      </c>
      <c r="I31" s="31">
        <v>0</v>
      </c>
      <c r="J31" s="31">
        <v>0</v>
      </c>
      <c r="K31" s="31">
        <v>0</v>
      </c>
      <c r="L31" s="31">
        <v>0</v>
      </c>
      <c r="M31" s="31">
        <v>0</v>
      </c>
      <c r="N31" s="30">
        <v>86794769.389999986</v>
      </c>
      <c r="O31" s="30">
        <v>9412</v>
      </c>
      <c r="P31" s="30">
        <v>32134314.710000001</v>
      </c>
      <c r="Q31" s="33">
        <v>0</v>
      </c>
      <c r="R31" s="33">
        <v>0</v>
      </c>
      <c r="S31" s="33">
        <v>0</v>
      </c>
    </row>
    <row r="32" spans="1:19" ht="15" customHeight="1" x14ac:dyDescent="0.3">
      <c r="A32" s="6" t="s">
        <v>58</v>
      </c>
      <c r="B32" s="30">
        <v>69983297</v>
      </c>
      <c r="C32" s="30">
        <v>61326</v>
      </c>
      <c r="D32" s="30">
        <v>52463363.829999998</v>
      </c>
      <c r="E32" s="31">
        <v>0</v>
      </c>
      <c r="F32" s="31">
        <v>0</v>
      </c>
      <c r="G32" s="31">
        <v>0</v>
      </c>
      <c r="H32" s="31">
        <v>0</v>
      </c>
      <c r="I32" s="31">
        <v>0</v>
      </c>
      <c r="J32" s="31">
        <v>0</v>
      </c>
      <c r="K32" s="31">
        <v>0</v>
      </c>
      <c r="L32" s="31">
        <v>0</v>
      </c>
      <c r="M32" s="31">
        <v>0</v>
      </c>
      <c r="N32" s="30">
        <v>69983297</v>
      </c>
      <c r="O32" s="30">
        <v>61326</v>
      </c>
      <c r="P32" s="30">
        <v>52463363.829999998</v>
      </c>
      <c r="Q32" s="33">
        <v>0</v>
      </c>
      <c r="R32" s="33">
        <v>0</v>
      </c>
      <c r="S32" s="33">
        <v>0</v>
      </c>
    </row>
    <row r="33" spans="1:19" ht="15" customHeight="1" x14ac:dyDescent="0.3">
      <c r="A33" s="6" t="s">
        <v>59</v>
      </c>
      <c r="B33" s="30">
        <v>12337899</v>
      </c>
      <c r="C33" s="30">
        <v>937</v>
      </c>
      <c r="D33" s="30">
        <v>4309308.6399999997</v>
      </c>
      <c r="E33" s="31">
        <v>0</v>
      </c>
      <c r="F33" s="31">
        <v>0</v>
      </c>
      <c r="G33" s="31">
        <v>0</v>
      </c>
      <c r="H33" s="31">
        <v>0</v>
      </c>
      <c r="I33" s="31">
        <v>0</v>
      </c>
      <c r="J33" s="31">
        <v>0</v>
      </c>
      <c r="K33" s="31">
        <v>0</v>
      </c>
      <c r="L33" s="31">
        <v>0</v>
      </c>
      <c r="M33" s="31">
        <v>0</v>
      </c>
      <c r="N33" s="30">
        <v>12337899</v>
      </c>
      <c r="O33" s="30">
        <v>937</v>
      </c>
      <c r="P33" s="30">
        <v>4309308.6399999997</v>
      </c>
      <c r="Q33" s="33">
        <v>0</v>
      </c>
      <c r="R33" s="33">
        <v>0</v>
      </c>
      <c r="S33" s="33">
        <v>0</v>
      </c>
    </row>
    <row r="34" spans="1:19" ht="15" customHeight="1" x14ac:dyDescent="0.3">
      <c r="A34" s="6" t="s">
        <v>60</v>
      </c>
      <c r="B34" s="30">
        <v>50783621.699999996</v>
      </c>
      <c r="C34" s="30">
        <v>3974</v>
      </c>
      <c r="D34" s="30">
        <v>15094104.09</v>
      </c>
      <c r="E34" s="31">
        <v>0</v>
      </c>
      <c r="F34" s="31">
        <v>0</v>
      </c>
      <c r="G34" s="31">
        <v>0</v>
      </c>
      <c r="H34" s="31">
        <v>0</v>
      </c>
      <c r="I34" s="31">
        <v>0</v>
      </c>
      <c r="J34" s="31">
        <v>0</v>
      </c>
      <c r="K34" s="31">
        <v>0</v>
      </c>
      <c r="L34" s="31">
        <v>0</v>
      </c>
      <c r="M34" s="31">
        <v>0</v>
      </c>
      <c r="N34" s="30">
        <v>50783621.699999996</v>
      </c>
      <c r="O34" s="30">
        <v>3974</v>
      </c>
      <c r="P34" s="30">
        <v>15094104.09</v>
      </c>
      <c r="Q34" s="33">
        <v>0</v>
      </c>
      <c r="R34" s="33">
        <v>0</v>
      </c>
      <c r="S34" s="33">
        <v>0</v>
      </c>
    </row>
    <row r="35" spans="1:19" ht="15" customHeight="1" x14ac:dyDescent="0.3">
      <c r="A35" s="6"/>
      <c r="B35" s="30"/>
      <c r="C35" s="30"/>
      <c r="D35" s="30"/>
      <c r="E35" s="31"/>
      <c r="F35" s="31"/>
      <c r="G35" s="31"/>
      <c r="H35" s="30"/>
      <c r="I35" s="30"/>
      <c r="J35" s="30"/>
      <c r="K35" s="30"/>
      <c r="L35" s="30"/>
      <c r="M35" s="30"/>
      <c r="N35" s="30"/>
      <c r="O35" s="30"/>
      <c r="P35" s="30"/>
      <c r="Q35" s="33"/>
      <c r="R35" s="33"/>
      <c r="S35" s="33"/>
    </row>
    <row r="36" spans="1:19" ht="15" customHeight="1" x14ac:dyDescent="0.3">
      <c r="A36" s="11" t="s">
        <v>61</v>
      </c>
      <c r="B36" s="28">
        <v>13166420.939999998</v>
      </c>
      <c r="C36" s="28">
        <v>39</v>
      </c>
      <c r="D36" s="28">
        <v>9081668.6199999992</v>
      </c>
      <c r="E36" s="31">
        <v>0</v>
      </c>
      <c r="F36" s="31">
        <v>0</v>
      </c>
      <c r="G36" s="31">
        <v>0</v>
      </c>
      <c r="H36" s="32">
        <v>0</v>
      </c>
      <c r="I36" s="32">
        <v>0</v>
      </c>
      <c r="J36" s="32">
        <v>0</v>
      </c>
      <c r="K36" s="32">
        <v>0</v>
      </c>
      <c r="L36" s="32">
        <v>0</v>
      </c>
      <c r="M36" s="32">
        <v>0</v>
      </c>
      <c r="N36" s="28">
        <v>13166420.939999998</v>
      </c>
      <c r="O36" s="28">
        <v>39</v>
      </c>
      <c r="P36" s="28">
        <v>9081668.6199999992</v>
      </c>
      <c r="Q36" s="33">
        <v>0</v>
      </c>
      <c r="R36" s="33">
        <v>0</v>
      </c>
      <c r="S36" s="33">
        <v>0</v>
      </c>
    </row>
    <row r="37" spans="1:19" ht="13.5" thickBot="1" x14ac:dyDescent="0.35">
      <c r="A37" s="13"/>
      <c r="B37" s="35"/>
      <c r="C37" s="35"/>
      <c r="D37" s="35"/>
      <c r="E37" s="35"/>
      <c r="F37" s="35"/>
      <c r="G37" s="35"/>
      <c r="H37" s="35"/>
      <c r="I37" s="35"/>
      <c r="J37" s="35"/>
      <c r="K37" s="35"/>
      <c r="L37" s="35"/>
      <c r="M37" s="35"/>
      <c r="N37" s="35"/>
      <c r="O37" s="35"/>
      <c r="P37" s="35"/>
      <c r="Q37" s="35"/>
      <c r="R37" s="35"/>
      <c r="S37" s="35"/>
    </row>
    <row r="38" spans="1:19" ht="14.5" x14ac:dyDescent="0.35">
      <c r="A38" s="36" t="s">
        <v>62</v>
      </c>
      <c r="B38" s="37"/>
      <c r="C38" s="37"/>
      <c r="D38" s="37"/>
      <c r="E38" s="37"/>
      <c r="F38" s="37"/>
      <c r="G38" s="37"/>
      <c r="H38" s="37"/>
      <c r="I38" s="37"/>
      <c r="J38" s="37"/>
      <c r="K38" s="37"/>
      <c r="L38" s="37"/>
      <c r="M38" s="37"/>
      <c r="N38" s="37"/>
      <c r="O38" s="37"/>
      <c r="P38" s="37"/>
      <c r="Q38" s="37"/>
      <c r="R38" s="37"/>
    </row>
    <row r="39" spans="1:19" ht="14.5" x14ac:dyDescent="0.35">
      <c r="A39" s="36" t="s">
        <v>63</v>
      </c>
      <c r="B39" s="37"/>
      <c r="C39" s="37"/>
      <c r="D39" s="37"/>
      <c r="E39" s="37"/>
      <c r="F39" s="37"/>
      <c r="G39" s="37"/>
      <c r="H39" s="37"/>
      <c r="I39" s="37"/>
      <c r="J39" s="37"/>
      <c r="K39" s="37"/>
      <c r="L39" s="37"/>
      <c r="M39" s="37"/>
      <c r="N39" s="37"/>
      <c r="O39" s="37"/>
      <c r="P39" s="37"/>
      <c r="Q39" s="37"/>
      <c r="R39" s="37"/>
    </row>
    <row r="40" spans="1:19" ht="14.5" x14ac:dyDescent="0.35">
      <c r="A40" s="38" t="s">
        <v>30</v>
      </c>
      <c r="B40" s="37"/>
      <c r="C40" s="37"/>
      <c r="D40" s="37"/>
      <c r="E40" s="37"/>
      <c r="F40" s="37"/>
      <c r="G40" s="37"/>
      <c r="H40" s="37"/>
      <c r="I40" s="37"/>
      <c r="J40" s="37"/>
      <c r="K40" s="37"/>
      <c r="L40" s="37"/>
      <c r="M40" s="37"/>
      <c r="N40" s="37"/>
      <c r="O40" s="37"/>
      <c r="P40" s="37"/>
      <c r="Q40" s="37"/>
      <c r="R40" s="37"/>
    </row>
    <row r="41" spans="1:19" x14ac:dyDescent="0.3">
      <c r="B41" s="37"/>
      <c r="C41" s="37"/>
      <c r="D41" s="37"/>
      <c r="E41" s="37"/>
      <c r="F41" s="37"/>
      <c r="G41" s="37"/>
      <c r="H41" s="37"/>
      <c r="I41" s="37"/>
      <c r="J41" s="37"/>
      <c r="K41" s="37"/>
      <c r="L41" s="37"/>
      <c r="M41" s="37"/>
      <c r="N41" s="37"/>
      <c r="O41" s="37"/>
      <c r="P41" s="37"/>
      <c r="Q41" s="37"/>
      <c r="R41" s="37"/>
    </row>
    <row r="42" spans="1:19" x14ac:dyDescent="0.3">
      <c r="B42" s="37"/>
      <c r="C42" s="37"/>
      <c r="D42" s="37"/>
      <c r="E42" s="37"/>
      <c r="F42" s="37"/>
      <c r="G42" s="37"/>
      <c r="H42" s="37"/>
      <c r="I42" s="37"/>
      <c r="J42" s="37"/>
      <c r="K42" s="37"/>
      <c r="L42" s="37"/>
      <c r="M42" s="37"/>
      <c r="N42" s="37"/>
      <c r="O42" s="37"/>
      <c r="P42" s="37"/>
      <c r="Q42" s="37"/>
      <c r="R42" s="37"/>
    </row>
    <row r="43" spans="1:19" x14ac:dyDescent="0.3">
      <c r="B43" s="37"/>
      <c r="C43" s="37"/>
      <c r="D43" s="37"/>
      <c r="E43" s="37"/>
      <c r="F43" s="37"/>
      <c r="G43" s="37"/>
      <c r="H43" s="37"/>
      <c r="I43" s="37"/>
      <c r="J43" s="37"/>
      <c r="K43" s="37"/>
      <c r="L43" s="37"/>
      <c r="M43" s="37"/>
      <c r="N43" s="37"/>
      <c r="O43" s="37"/>
      <c r="P43" s="37"/>
      <c r="Q43" s="37"/>
      <c r="R43" s="37"/>
    </row>
    <row r="44" spans="1:19" x14ac:dyDescent="0.3">
      <c r="B44" s="37"/>
      <c r="C44" s="37"/>
      <c r="D44" s="37"/>
      <c r="E44" s="37"/>
      <c r="F44" s="37"/>
      <c r="G44" s="37"/>
      <c r="H44" s="37"/>
      <c r="I44" s="37"/>
      <c r="J44" s="37"/>
      <c r="K44" s="37"/>
      <c r="L44" s="37"/>
      <c r="M44" s="37"/>
      <c r="N44" s="37"/>
      <c r="O44" s="37"/>
      <c r="P44" s="37"/>
      <c r="Q44" s="37"/>
      <c r="R44" s="37"/>
    </row>
    <row r="45" spans="1:19" x14ac:dyDescent="0.3">
      <c r="B45" s="37"/>
      <c r="C45" s="37"/>
      <c r="D45" s="37"/>
      <c r="E45" s="37"/>
      <c r="F45" s="37"/>
      <c r="G45" s="37"/>
      <c r="H45" s="37"/>
      <c r="I45" s="37"/>
      <c r="J45" s="37"/>
      <c r="K45" s="37"/>
      <c r="L45" s="37"/>
      <c r="M45" s="37"/>
      <c r="N45" s="37"/>
      <c r="O45" s="37"/>
      <c r="P45" s="37"/>
      <c r="Q45" s="37"/>
      <c r="R45" s="37"/>
    </row>
    <row r="46" spans="1:19" x14ac:dyDescent="0.3">
      <c r="B46" s="37"/>
      <c r="C46" s="37"/>
      <c r="D46" s="37"/>
      <c r="E46" s="37"/>
      <c r="F46" s="37"/>
      <c r="G46" s="37"/>
      <c r="H46" s="37"/>
      <c r="I46" s="37"/>
      <c r="J46" s="37"/>
      <c r="K46" s="37"/>
      <c r="L46" s="37"/>
      <c r="M46" s="37"/>
      <c r="N46" s="37"/>
      <c r="O46" s="37"/>
      <c r="P46" s="37"/>
      <c r="Q46" s="37"/>
      <c r="R46" s="37"/>
    </row>
    <row r="47" spans="1:19" x14ac:dyDescent="0.3">
      <c r="B47" s="37"/>
      <c r="C47" s="37"/>
      <c r="D47" s="37"/>
      <c r="E47" s="37"/>
      <c r="F47" s="37"/>
      <c r="G47" s="37"/>
      <c r="H47" s="37"/>
      <c r="I47" s="37"/>
      <c r="J47" s="37"/>
      <c r="K47" s="37"/>
      <c r="L47" s="37"/>
      <c r="M47" s="37"/>
      <c r="N47" s="37"/>
      <c r="O47" s="37"/>
      <c r="P47" s="37"/>
      <c r="Q47" s="37"/>
      <c r="R47" s="37"/>
    </row>
    <row r="48" spans="1:19" x14ac:dyDescent="0.3">
      <c r="B48" s="37"/>
      <c r="C48" s="37"/>
      <c r="D48" s="37"/>
      <c r="E48" s="37"/>
      <c r="F48" s="37"/>
      <c r="G48" s="37"/>
      <c r="H48" s="37"/>
      <c r="I48" s="37"/>
      <c r="J48" s="37"/>
      <c r="K48" s="37"/>
      <c r="L48" s="37"/>
      <c r="M48" s="37"/>
      <c r="N48" s="37"/>
      <c r="O48" s="37"/>
      <c r="P48" s="37"/>
      <c r="Q48" s="37"/>
      <c r="R48" s="37"/>
    </row>
    <row r="49" spans="2:18" x14ac:dyDescent="0.3">
      <c r="B49" s="37"/>
      <c r="C49" s="37"/>
      <c r="D49" s="37"/>
      <c r="E49" s="37"/>
      <c r="F49" s="37"/>
      <c r="G49" s="37"/>
      <c r="H49" s="37"/>
      <c r="I49" s="37"/>
      <c r="J49" s="37"/>
      <c r="K49" s="37"/>
      <c r="L49" s="37"/>
      <c r="M49" s="37"/>
      <c r="N49" s="37"/>
      <c r="O49" s="37"/>
      <c r="P49" s="37"/>
      <c r="Q49" s="37"/>
      <c r="R49" s="37"/>
    </row>
    <row r="50" spans="2:18" x14ac:dyDescent="0.3">
      <c r="B50" s="37"/>
      <c r="C50" s="37"/>
      <c r="D50" s="37"/>
      <c r="E50" s="37"/>
      <c r="F50" s="37"/>
      <c r="G50" s="37"/>
      <c r="H50" s="37"/>
      <c r="I50" s="37"/>
      <c r="J50" s="37"/>
      <c r="K50" s="37"/>
      <c r="L50" s="37"/>
      <c r="M50" s="37"/>
      <c r="N50" s="37"/>
      <c r="O50" s="37"/>
      <c r="P50" s="37"/>
      <c r="Q50" s="37"/>
      <c r="R50" s="37"/>
    </row>
    <row r="51" spans="2:18" x14ac:dyDescent="0.3">
      <c r="B51" s="37"/>
      <c r="C51" s="37"/>
      <c r="D51" s="37"/>
      <c r="E51" s="37"/>
      <c r="F51" s="37"/>
      <c r="G51" s="37"/>
      <c r="H51" s="37"/>
      <c r="I51" s="37"/>
      <c r="J51" s="37"/>
      <c r="K51" s="37"/>
      <c r="L51" s="37"/>
      <c r="M51" s="37"/>
      <c r="N51" s="37"/>
      <c r="O51" s="37"/>
      <c r="P51" s="37"/>
      <c r="Q51" s="37"/>
      <c r="R51" s="37"/>
    </row>
    <row r="52" spans="2:18" x14ac:dyDescent="0.3">
      <c r="B52" s="37"/>
      <c r="C52" s="37"/>
      <c r="D52" s="37"/>
      <c r="E52" s="37"/>
      <c r="F52" s="37"/>
      <c r="G52" s="37"/>
      <c r="H52" s="37"/>
      <c r="I52" s="37"/>
      <c r="J52" s="37"/>
      <c r="K52" s="37"/>
      <c r="L52" s="37"/>
      <c r="M52" s="37"/>
      <c r="N52" s="37"/>
      <c r="O52" s="37"/>
      <c r="P52" s="37"/>
      <c r="Q52" s="37"/>
      <c r="R52" s="37"/>
    </row>
    <row r="53" spans="2:18" x14ac:dyDescent="0.3">
      <c r="B53" s="37"/>
      <c r="C53" s="37"/>
      <c r="D53" s="37"/>
      <c r="E53" s="37"/>
      <c r="F53" s="37"/>
      <c r="G53" s="37"/>
      <c r="H53" s="37"/>
      <c r="I53" s="37"/>
      <c r="J53" s="37"/>
      <c r="K53" s="37"/>
      <c r="L53" s="37"/>
      <c r="M53" s="37"/>
      <c r="N53" s="37"/>
      <c r="O53" s="37"/>
      <c r="P53" s="37"/>
      <c r="Q53" s="37"/>
      <c r="R53" s="37"/>
    </row>
    <row r="54" spans="2:18" x14ac:dyDescent="0.3">
      <c r="B54" s="37"/>
      <c r="C54" s="37"/>
      <c r="D54" s="37"/>
      <c r="E54" s="37"/>
      <c r="F54" s="37"/>
      <c r="G54" s="37"/>
      <c r="H54" s="37"/>
      <c r="I54" s="37"/>
      <c r="J54" s="37"/>
      <c r="K54" s="37"/>
      <c r="L54" s="37"/>
      <c r="M54" s="37"/>
      <c r="N54" s="37"/>
      <c r="O54" s="37"/>
      <c r="P54" s="37"/>
      <c r="Q54" s="37"/>
      <c r="R54" s="37"/>
    </row>
    <row r="55" spans="2:18" x14ac:dyDescent="0.3">
      <c r="B55" s="37"/>
      <c r="C55" s="37"/>
      <c r="D55" s="37"/>
      <c r="E55" s="37"/>
      <c r="F55" s="37"/>
      <c r="G55" s="37"/>
      <c r="H55" s="37"/>
      <c r="I55" s="37"/>
      <c r="J55" s="37"/>
      <c r="K55" s="37"/>
      <c r="L55" s="37"/>
      <c r="M55" s="37"/>
      <c r="N55" s="37"/>
      <c r="O55" s="37"/>
      <c r="P55" s="37"/>
      <c r="Q55" s="37"/>
      <c r="R55" s="37"/>
    </row>
    <row r="56" spans="2:18" x14ac:dyDescent="0.3">
      <c r="B56" s="37"/>
      <c r="C56" s="37"/>
      <c r="D56" s="37"/>
      <c r="E56" s="37"/>
      <c r="F56" s="37"/>
      <c r="G56" s="37"/>
      <c r="H56" s="37"/>
      <c r="I56" s="37"/>
      <c r="J56" s="37"/>
      <c r="K56" s="37"/>
      <c r="L56" s="37"/>
      <c r="M56" s="37"/>
      <c r="N56" s="37"/>
      <c r="O56" s="37"/>
      <c r="P56" s="37"/>
      <c r="Q56" s="37"/>
      <c r="R56" s="37"/>
    </row>
    <row r="57" spans="2:18" x14ac:dyDescent="0.3">
      <c r="B57" s="37"/>
      <c r="C57" s="37"/>
      <c r="D57" s="37"/>
      <c r="E57" s="37"/>
      <c r="F57" s="37"/>
      <c r="G57" s="37"/>
      <c r="H57" s="37"/>
      <c r="I57" s="37"/>
      <c r="J57" s="37"/>
      <c r="K57" s="37"/>
      <c r="L57" s="37"/>
      <c r="M57" s="37"/>
      <c r="N57" s="37"/>
      <c r="O57" s="37"/>
      <c r="P57" s="37"/>
      <c r="Q57" s="37"/>
      <c r="R57" s="37"/>
    </row>
    <row r="58" spans="2:18" x14ac:dyDescent="0.3">
      <c r="B58" s="37"/>
      <c r="C58" s="37"/>
      <c r="D58" s="37"/>
      <c r="E58" s="37"/>
      <c r="F58" s="37"/>
      <c r="G58" s="37"/>
      <c r="H58" s="37"/>
      <c r="I58" s="37"/>
      <c r="J58" s="37"/>
      <c r="K58" s="37"/>
      <c r="L58" s="37"/>
      <c r="M58" s="37"/>
      <c r="N58" s="37"/>
      <c r="O58" s="37"/>
      <c r="P58" s="37"/>
      <c r="Q58" s="37"/>
      <c r="R58" s="37"/>
    </row>
    <row r="59" spans="2:18" x14ac:dyDescent="0.3">
      <c r="B59" s="37"/>
      <c r="C59" s="37"/>
      <c r="D59" s="37"/>
      <c r="E59" s="37"/>
      <c r="F59" s="37"/>
      <c r="G59" s="37"/>
      <c r="H59" s="37"/>
      <c r="I59" s="37"/>
      <c r="J59" s="37"/>
      <c r="K59" s="37"/>
      <c r="L59" s="37"/>
      <c r="M59" s="37"/>
      <c r="N59" s="37"/>
      <c r="O59" s="37"/>
      <c r="P59" s="37"/>
      <c r="Q59" s="37"/>
      <c r="R59" s="37"/>
    </row>
  </sheetData>
  <mergeCells count="20">
    <mergeCell ref="B9:G9"/>
    <mergeCell ref="H9:M9"/>
    <mergeCell ref="N9:S9"/>
    <mergeCell ref="R1:S1"/>
    <mergeCell ref="A3:S3"/>
    <mergeCell ref="A4:S4"/>
    <mergeCell ref="A5:S5"/>
    <mergeCell ref="A6:S6"/>
    <mergeCell ref="R10:S10"/>
    <mergeCell ref="B10:B11"/>
    <mergeCell ref="C10:D10"/>
    <mergeCell ref="E10:E11"/>
    <mergeCell ref="F10:G10"/>
    <mergeCell ref="H10:H11"/>
    <mergeCell ref="I10:J10"/>
    <mergeCell ref="K10:K11"/>
    <mergeCell ref="L10:M10"/>
    <mergeCell ref="N10:N11"/>
    <mergeCell ref="O10:P10"/>
    <mergeCell ref="Q10:Q1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63"/>
  <sheetViews>
    <sheetView topLeftCell="F7" workbookViewId="0">
      <selection sqref="A1:XFD1048576"/>
    </sheetView>
  </sheetViews>
  <sheetFormatPr baseColWidth="10" defaultColWidth="16" defaultRowHeight="13" x14ac:dyDescent="0.3"/>
  <cols>
    <col min="1" max="1" width="45.26953125" style="1" customWidth="1"/>
    <col min="2" max="2" width="17" style="1" bestFit="1" customWidth="1"/>
    <col min="3" max="13" width="16.1796875" style="1" bestFit="1" customWidth="1"/>
    <col min="14" max="14" width="17" style="1" bestFit="1" customWidth="1"/>
    <col min="15" max="15" width="16.1796875" style="1" bestFit="1" customWidth="1"/>
    <col min="16" max="256" width="16" style="1"/>
    <col min="257" max="257" width="45.26953125" style="1" customWidth="1"/>
    <col min="258" max="258" width="17" style="1" bestFit="1" customWidth="1"/>
    <col min="259" max="269" width="16.1796875" style="1" bestFit="1" customWidth="1"/>
    <col min="270" max="270" width="17" style="1" bestFit="1" customWidth="1"/>
    <col min="271" max="271" width="16.1796875" style="1" bestFit="1" customWidth="1"/>
    <col min="272" max="512" width="16" style="1"/>
    <col min="513" max="513" width="45.26953125" style="1" customWidth="1"/>
    <col min="514" max="514" width="17" style="1" bestFit="1" customWidth="1"/>
    <col min="515" max="525" width="16.1796875" style="1" bestFit="1" customWidth="1"/>
    <col min="526" max="526" width="17" style="1" bestFit="1" customWidth="1"/>
    <col min="527" max="527" width="16.1796875" style="1" bestFit="1" customWidth="1"/>
    <col min="528" max="768" width="16" style="1"/>
    <col min="769" max="769" width="45.26953125" style="1" customWidth="1"/>
    <col min="770" max="770" width="17" style="1" bestFit="1" customWidth="1"/>
    <col min="771" max="781" width="16.1796875" style="1" bestFit="1" customWidth="1"/>
    <col min="782" max="782" width="17" style="1" bestFit="1" customWidth="1"/>
    <col min="783" max="783" width="16.1796875" style="1" bestFit="1" customWidth="1"/>
    <col min="784" max="1024" width="16" style="1"/>
    <col min="1025" max="1025" width="45.26953125" style="1" customWidth="1"/>
    <col min="1026" max="1026" width="17" style="1" bestFit="1" customWidth="1"/>
    <col min="1027" max="1037" width="16.1796875" style="1" bestFit="1" customWidth="1"/>
    <col min="1038" max="1038" width="17" style="1" bestFit="1" customWidth="1"/>
    <col min="1039" max="1039" width="16.1796875" style="1" bestFit="1" customWidth="1"/>
    <col min="1040" max="1280" width="16" style="1"/>
    <col min="1281" max="1281" width="45.26953125" style="1" customWidth="1"/>
    <col min="1282" max="1282" width="17" style="1" bestFit="1" customWidth="1"/>
    <col min="1283" max="1293" width="16.1796875" style="1" bestFit="1" customWidth="1"/>
    <col min="1294" max="1294" width="17" style="1" bestFit="1" customWidth="1"/>
    <col min="1295" max="1295" width="16.1796875" style="1" bestFit="1" customWidth="1"/>
    <col min="1296" max="1536" width="16" style="1"/>
    <col min="1537" max="1537" width="45.26953125" style="1" customWidth="1"/>
    <col min="1538" max="1538" width="17" style="1" bestFit="1" customWidth="1"/>
    <col min="1539" max="1549" width="16.1796875" style="1" bestFit="1" customWidth="1"/>
    <col min="1550" max="1550" width="17" style="1" bestFit="1" customWidth="1"/>
    <col min="1551" max="1551" width="16.1796875" style="1" bestFit="1" customWidth="1"/>
    <col min="1552" max="1792" width="16" style="1"/>
    <col min="1793" max="1793" width="45.26953125" style="1" customWidth="1"/>
    <col min="1794" max="1794" width="17" style="1" bestFit="1" customWidth="1"/>
    <col min="1795" max="1805" width="16.1796875" style="1" bestFit="1" customWidth="1"/>
    <col min="1806" max="1806" width="17" style="1" bestFit="1" customWidth="1"/>
    <col min="1807" max="1807" width="16.1796875" style="1" bestFit="1" customWidth="1"/>
    <col min="1808" max="2048" width="16" style="1"/>
    <col min="2049" max="2049" width="45.26953125" style="1" customWidth="1"/>
    <col min="2050" max="2050" width="17" style="1" bestFit="1" customWidth="1"/>
    <col min="2051" max="2061" width="16.1796875" style="1" bestFit="1" customWidth="1"/>
    <col min="2062" max="2062" width="17" style="1" bestFit="1" customWidth="1"/>
    <col min="2063" max="2063" width="16.1796875" style="1" bestFit="1" customWidth="1"/>
    <col min="2064" max="2304" width="16" style="1"/>
    <col min="2305" max="2305" width="45.26953125" style="1" customWidth="1"/>
    <col min="2306" max="2306" width="17" style="1" bestFit="1" customWidth="1"/>
    <col min="2307" max="2317" width="16.1796875" style="1" bestFit="1" customWidth="1"/>
    <col min="2318" max="2318" width="17" style="1" bestFit="1" customWidth="1"/>
    <col min="2319" max="2319" width="16.1796875" style="1" bestFit="1" customWidth="1"/>
    <col min="2320" max="2560" width="16" style="1"/>
    <col min="2561" max="2561" width="45.26953125" style="1" customWidth="1"/>
    <col min="2562" max="2562" width="17" style="1" bestFit="1" customWidth="1"/>
    <col min="2563" max="2573" width="16.1796875" style="1" bestFit="1" customWidth="1"/>
    <col min="2574" max="2574" width="17" style="1" bestFit="1" customWidth="1"/>
    <col min="2575" max="2575" width="16.1796875" style="1" bestFit="1" customWidth="1"/>
    <col min="2576" max="2816" width="16" style="1"/>
    <col min="2817" max="2817" width="45.26953125" style="1" customWidth="1"/>
    <col min="2818" max="2818" width="17" style="1" bestFit="1" customWidth="1"/>
    <col min="2819" max="2829" width="16.1796875" style="1" bestFit="1" customWidth="1"/>
    <col min="2830" max="2830" width="17" style="1" bestFit="1" customWidth="1"/>
    <col min="2831" max="2831" width="16.1796875" style="1" bestFit="1" customWidth="1"/>
    <col min="2832" max="3072" width="16" style="1"/>
    <col min="3073" max="3073" width="45.26953125" style="1" customWidth="1"/>
    <col min="3074" max="3074" width="17" style="1" bestFit="1" customWidth="1"/>
    <col min="3075" max="3085" width="16.1796875" style="1" bestFit="1" customWidth="1"/>
    <col min="3086" max="3086" width="17" style="1" bestFit="1" customWidth="1"/>
    <col min="3087" max="3087" width="16.1796875" style="1" bestFit="1" customWidth="1"/>
    <col min="3088" max="3328" width="16" style="1"/>
    <col min="3329" max="3329" width="45.26953125" style="1" customWidth="1"/>
    <col min="3330" max="3330" width="17" style="1" bestFit="1" customWidth="1"/>
    <col min="3331" max="3341" width="16.1796875" style="1" bestFit="1" customWidth="1"/>
    <col min="3342" max="3342" width="17" style="1" bestFit="1" customWidth="1"/>
    <col min="3343" max="3343" width="16.1796875" style="1" bestFit="1" customWidth="1"/>
    <col min="3344" max="3584" width="16" style="1"/>
    <col min="3585" max="3585" width="45.26953125" style="1" customWidth="1"/>
    <col min="3586" max="3586" width="17" style="1" bestFit="1" customWidth="1"/>
    <col min="3587" max="3597" width="16.1796875" style="1" bestFit="1" customWidth="1"/>
    <col min="3598" max="3598" width="17" style="1" bestFit="1" customWidth="1"/>
    <col min="3599" max="3599" width="16.1796875" style="1" bestFit="1" customWidth="1"/>
    <col min="3600" max="3840" width="16" style="1"/>
    <col min="3841" max="3841" width="45.26953125" style="1" customWidth="1"/>
    <col min="3842" max="3842" width="17" style="1" bestFit="1" customWidth="1"/>
    <col min="3843" max="3853" width="16.1796875" style="1" bestFit="1" customWidth="1"/>
    <col min="3854" max="3854" width="17" style="1" bestFit="1" customWidth="1"/>
    <col min="3855" max="3855" width="16.1796875" style="1" bestFit="1" customWidth="1"/>
    <col min="3856" max="4096" width="16" style="1"/>
    <col min="4097" max="4097" width="45.26953125" style="1" customWidth="1"/>
    <col min="4098" max="4098" width="17" style="1" bestFit="1" customWidth="1"/>
    <col min="4099" max="4109" width="16.1796875" style="1" bestFit="1" customWidth="1"/>
    <col min="4110" max="4110" width="17" style="1" bestFit="1" customWidth="1"/>
    <col min="4111" max="4111" width="16.1796875" style="1" bestFit="1" customWidth="1"/>
    <col min="4112" max="4352" width="16" style="1"/>
    <col min="4353" max="4353" width="45.26953125" style="1" customWidth="1"/>
    <col min="4354" max="4354" width="17" style="1" bestFit="1" customWidth="1"/>
    <col min="4355" max="4365" width="16.1796875" style="1" bestFit="1" customWidth="1"/>
    <col min="4366" max="4366" width="17" style="1" bestFit="1" customWidth="1"/>
    <col min="4367" max="4367" width="16.1796875" style="1" bestFit="1" customWidth="1"/>
    <col min="4368" max="4608" width="16" style="1"/>
    <col min="4609" max="4609" width="45.26953125" style="1" customWidth="1"/>
    <col min="4610" max="4610" width="17" style="1" bestFit="1" customWidth="1"/>
    <col min="4611" max="4621" width="16.1796875" style="1" bestFit="1" customWidth="1"/>
    <col min="4622" max="4622" width="17" style="1" bestFit="1" customWidth="1"/>
    <col min="4623" max="4623" width="16.1796875" style="1" bestFit="1" customWidth="1"/>
    <col min="4624" max="4864" width="16" style="1"/>
    <col min="4865" max="4865" width="45.26953125" style="1" customWidth="1"/>
    <col min="4866" max="4866" width="17" style="1" bestFit="1" customWidth="1"/>
    <col min="4867" max="4877" width="16.1796875" style="1" bestFit="1" customWidth="1"/>
    <col min="4878" max="4878" width="17" style="1" bestFit="1" customWidth="1"/>
    <col min="4879" max="4879" width="16.1796875" style="1" bestFit="1" customWidth="1"/>
    <col min="4880" max="5120" width="16" style="1"/>
    <col min="5121" max="5121" width="45.26953125" style="1" customWidth="1"/>
    <col min="5122" max="5122" width="17" style="1" bestFit="1" customWidth="1"/>
    <col min="5123" max="5133" width="16.1796875" style="1" bestFit="1" customWidth="1"/>
    <col min="5134" max="5134" width="17" style="1" bestFit="1" customWidth="1"/>
    <col min="5135" max="5135" width="16.1796875" style="1" bestFit="1" customWidth="1"/>
    <col min="5136" max="5376" width="16" style="1"/>
    <col min="5377" max="5377" width="45.26953125" style="1" customWidth="1"/>
    <col min="5378" max="5378" width="17" style="1" bestFit="1" customWidth="1"/>
    <col min="5379" max="5389" width="16.1796875" style="1" bestFit="1" customWidth="1"/>
    <col min="5390" max="5390" width="17" style="1" bestFit="1" customWidth="1"/>
    <col min="5391" max="5391" width="16.1796875" style="1" bestFit="1" customWidth="1"/>
    <col min="5392" max="5632" width="16" style="1"/>
    <col min="5633" max="5633" width="45.26953125" style="1" customWidth="1"/>
    <col min="5634" max="5634" width="17" style="1" bestFit="1" customWidth="1"/>
    <col min="5635" max="5645" width="16.1796875" style="1" bestFit="1" customWidth="1"/>
    <col min="5646" max="5646" width="17" style="1" bestFit="1" customWidth="1"/>
    <col min="5647" max="5647" width="16.1796875" style="1" bestFit="1" customWidth="1"/>
    <col min="5648" max="5888" width="16" style="1"/>
    <col min="5889" max="5889" width="45.26953125" style="1" customWidth="1"/>
    <col min="5890" max="5890" width="17" style="1" bestFit="1" customWidth="1"/>
    <col min="5891" max="5901" width="16.1796875" style="1" bestFit="1" customWidth="1"/>
    <col min="5902" max="5902" width="17" style="1" bestFit="1" customWidth="1"/>
    <col min="5903" max="5903" width="16.1796875" style="1" bestFit="1" customWidth="1"/>
    <col min="5904" max="6144" width="16" style="1"/>
    <col min="6145" max="6145" width="45.26953125" style="1" customWidth="1"/>
    <col min="6146" max="6146" width="17" style="1" bestFit="1" customWidth="1"/>
    <col min="6147" max="6157" width="16.1796875" style="1" bestFit="1" customWidth="1"/>
    <col min="6158" max="6158" width="17" style="1" bestFit="1" customWidth="1"/>
    <col min="6159" max="6159" width="16.1796875" style="1" bestFit="1" customWidth="1"/>
    <col min="6160" max="6400" width="16" style="1"/>
    <col min="6401" max="6401" width="45.26953125" style="1" customWidth="1"/>
    <col min="6402" max="6402" width="17" style="1" bestFit="1" customWidth="1"/>
    <col min="6403" max="6413" width="16.1796875" style="1" bestFit="1" customWidth="1"/>
    <col min="6414" max="6414" width="17" style="1" bestFit="1" customWidth="1"/>
    <col min="6415" max="6415" width="16.1796875" style="1" bestFit="1" customWidth="1"/>
    <col min="6416" max="6656" width="16" style="1"/>
    <col min="6657" max="6657" width="45.26953125" style="1" customWidth="1"/>
    <col min="6658" max="6658" width="17" style="1" bestFit="1" customWidth="1"/>
    <col min="6659" max="6669" width="16.1796875" style="1" bestFit="1" customWidth="1"/>
    <col min="6670" max="6670" width="17" style="1" bestFit="1" customWidth="1"/>
    <col min="6671" max="6671" width="16.1796875" style="1" bestFit="1" customWidth="1"/>
    <col min="6672" max="6912" width="16" style="1"/>
    <col min="6913" max="6913" width="45.26953125" style="1" customWidth="1"/>
    <col min="6914" max="6914" width="17" style="1" bestFit="1" customWidth="1"/>
    <col min="6915" max="6925" width="16.1796875" style="1" bestFit="1" customWidth="1"/>
    <col min="6926" max="6926" width="17" style="1" bestFit="1" customWidth="1"/>
    <col min="6927" max="6927" width="16.1796875" style="1" bestFit="1" customWidth="1"/>
    <col min="6928" max="7168" width="16" style="1"/>
    <col min="7169" max="7169" width="45.26953125" style="1" customWidth="1"/>
    <col min="7170" max="7170" width="17" style="1" bestFit="1" customWidth="1"/>
    <col min="7171" max="7181" width="16.1796875" style="1" bestFit="1" customWidth="1"/>
    <col min="7182" max="7182" width="17" style="1" bestFit="1" customWidth="1"/>
    <col min="7183" max="7183" width="16.1796875" style="1" bestFit="1" customWidth="1"/>
    <col min="7184" max="7424" width="16" style="1"/>
    <col min="7425" max="7425" width="45.26953125" style="1" customWidth="1"/>
    <col min="7426" max="7426" width="17" style="1" bestFit="1" customWidth="1"/>
    <col min="7427" max="7437" width="16.1796875" style="1" bestFit="1" customWidth="1"/>
    <col min="7438" max="7438" width="17" style="1" bestFit="1" customWidth="1"/>
    <col min="7439" max="7439" width="16.1796875" style="1" bestFit="1" customWidth="1"/>
    <col min="7440" max="7680" width="16" style="1"/>
    <col min="7681" max="7681" width="45.26953125" style="1" customWidth="1"/>
    <col min="7682" max="7682" width="17" style="1" bestFit="1" customWidth="1"/>
    <col min="7683" max="7693" width="16.1796875" style="1" bestFit="1" customWidth="1"/>
    <col min="7694" max="7694" width="17" style="1" bestFit="1" customWidth="1"/>
    <col min="7695" max="7695" width="16.1796875" style="1" bestFit="1" customWidth="1"/>
    <col min="7696" max="7936" width="16" style="1"/>
    <col min="7937" max="7937" width="45.26953125" style="1" customWidth="1"/>
    <col min="7938" max="7938" width="17" style="1" bestFit="1" customWidth="1"/>
    <col min="7939" max="7949" width="16.1796875" style="1" bestFit="1" customWidth="1"/>
    <col min="7950" max="7950" width="17" style="1" bestFit="1" customWidth="1"/>
    <col min="7951" max="7951" width="16.1796875" style="1" bestFit="1" customWidth="1"/>
    <col min="7952" max="8192" width="16" style="1"/>
    <col min="8193" max="8193" width="45.26953125" style="1" customWidth="1"/>
    <col min="8194" max="8194" width="17" style="1" bestFit="1" customWidth="1"/>
    <col min="8195" max="8205" width="16.1796875" style="1" bestFit="1" customWidth="1"/>
    <col min="8206" max="8206" width="17" style="1" bestFit="1" customWidth="1"/>
    <col min="8207" max="8207" width="16.1796875" style="1" bestFit="1" customWidth="1"/>
    <col min="8208" max="8448" width="16" style="1"/>
    <col min="8449" max="8449" width="45.26953125" style="1" customWidth="1"/>
    <col min="8450" max="8450" width="17" style="1" bestFit="1" customWidth="1"/>
    <col min="8451" max="8461" width="16.1796875" style="1" bestFit="1" customWidth="1"/>
    <col min="8462" max="8462" width="17" style="1" bestFit="1" customWidth="1"/>
    <col min="8463" max="8463" width="16.1796875" style="1" bestFit="1" customWidth="1"/>
    <col min="8464" max="8704" width="16" style="1"/>
    <col min="8705" max="8705" width="45.26953125" style="1" customWidth="1"/>
    <col min="8706" max="8706" width="17" style="1" bestFit="1" customWidth="1"/>
    <col min="8707" max="8717" width="16.1796875" style="1" bestFit="1" customWidth="1"/>
    <col min="8718" max="8718" width="17" style="1" bestFit="1" customWidth="1"/>
    <col min="8719" max="8719" width="16.1796875" style="1" bestFit="1" customWidth="1"/>
    <col min="8720" max="8960" width="16" style="1"/>
    <col min="8961" max="8961" width="45.26953125" style="1" customWidth="1"/>
    <col min="8962" max="8962" width="17" style="1" bestFit="1" customWidth="1"/>
    <col min="8963" max="8973" width="16.1796875" style="1" bestFit="1" customWidth="1"/>
    <col min="8974" max="8974" width="17" style="1" bestFit="1" customWidth="1"/>
    <col min="8975" max="8975" width="16.1796875" style="1" bestFit="1" customWidth="1"/>
    <col min="8976" max="9216" width="16" style="1"/>
    <col min="9217" max="9217" width="45.26953125" style="1" customWidth="1"/>
    <col min="9218" max="9218" width="17" style="1" bestFit="1" customWidth="1"/>
    <col min="9219" max="9229" width="16.1796875" style="1" bestFit="1" customWidth="1"/>
    <col min="9230" max="9230" width="17" style="1" bestFit="1" customWidth="1"/>
    <col min="9231" max="9231" width="16.1796875" style="1" bestFit="1" customWidth="1"/>
    <col min="9232" max="9472" width="16" style="1"/>
    <col min="9473" max="9473" width="45.26953125" style="1" customWidth="1"/>
    <col min="9474" max="9474" width="17" style="1" bestFit="1" customWidth="1"/>
    <col min="9475" max="9485" width="16.1796875" style="1" bestFit="1" customWidth="1"/>
    <col min="9486" max="9486" width="17" style="1" bestFit="1" customWidth="1"/>
    <col min="9487" max="9487" width="16.1796875" style="1" bestFit="1" customWidth="1"/>
    <col min="9488" max="9728" width="16" style="1"/>
    <col min="9729" max="9729" width="45.26953125" style="1" customWidth="1"/>
    <col min="9730" max="9730" width="17" style="1" bestFit="1" customWidth="1"/>
    <col min="9731" max="9741" width="16.1796875" style="1" bestFit="1" customWidth="1"/>
    <col min="9742" max="9742" width="17" style="1" bestFit="1" customWidth="1"/>
    <col min="9743" max="9743" width="16.1796875" style="1" bestFit="1" customWidth="1"/>
    <col min="9744" max="9984" width="16" style="1"/>
    <col min="9985" max="9985" width="45.26953125" style="1" customWidth="1"/>
    <col min="9986" max="9986" width="17" style="1" bestFit="1" customWidth="1"/>
    <col min="9987" max="9997" width="16.1796875" style="1" bestFit="1" customWidth="1"/>
    <col min="9998" max="9998" width="17" style="1" bestFit="1" customWidth="1"/>
    <col min="9999" max="9999" width="16.1796875" style="1" bestFit="1" customWidth="1"/>
    <col min="10000" max="10240" width="16" style="1"/>
    <col min="10241" max="10241" width="45.26953125" style="1" customWidth="1"/>
    <col min="10242" max="10242" width="17" style="1" bestFit="1" customWidth="1"/>
    <col min="10243" max="10253" width="16.1796875" style="1" bestFit="1" customWidth="1"/>
    <col min="10254" max="10254" width="17" style="1" bestFit="1" customWidth="1"/>
    <col min="10255" max="10255" width="16.1796875" style="1" bestFit="1" customWidth="1"/>
    <col min="10256" max="10496" width="16" style="1"/>
    <col min="10497" max="10497" width="45.26953125" style="1" customWidth="1"/>
    <col min="10498" max="10498" width="17" style="1" bestFit="1" customWidth="1"/>
    <col min="10499" max="10509" width="16.1796875" style="1" bestFit="1" customWidth="1"/>
    <col min="10510" max="10510" width="17" style="1" bestFit="1" customWidth="1"/>
    <col min="10511" max="10511" width="16.1796875" style="1" bestFit="1" customWidth="1"/>
    <col min="10512" max="10752" width="16" style="1"/>
    <col min="10753" max="10753" width="45.26953125" style="1" customWidth="1"/>
    <col min="10754" max="10754" width="17" style="1" bestFit="1" customWidth="1"/>
    <col min="10755" max="10765" width="16.1796875" style="1" bestFit="1" customWidth="1"/>
    <col min="10766" max="10766" width="17" style="1" bestFit="1" customWidth="1"/>
    <col min="10767" max="10767" width="16.1796875" style="1" bestFit="1" customWidth="1"/>
    <col min="10768" max="11008" width="16" style="1"/>
    <col min="11009" max="11009" width="45.26953125" style="1" customWidth="1"/>
    <col min="11010" max="11010" width="17" style="1" bestFit="1" customWidth="1"/>
    <col min="11011" max="11021" width="16.1796875" style="1" bestFit="1" customWidth="1"/>
    <col min="11022" max="11022" width="17" style="1" bestFit="1" customWidth="1"/>
    <col min="11023" max="11023" width="16.1796875" style="1" bestFit="1" customWidth="1"/>
    <col min="11024" max="11264" width="16" style="1"/>
    <col min="11265" max="11265" width="45.26953125" style="1" customWidth="1"/>
    <col min="11266" max="11266" width="17" style="1" bestFit="1" customWidth="1"/>
    <col min="11267" max="11277" width="16.1796875" style="1" bestFit="1" customWidth="1"/>
    <col min="11278" max="11278" width="17" style="1" bestFit="1" customWidth="1"/>
    <col min="11279" max="11279" width="16.1796875" style="1" bestFit="1" customWidth="1"/>
    <col min="11280" max="11520" width="16" style="1"/>
    <col min="11521" max="11521" width="45.26953125" style="1" customWidth="1"/>
    <col min="11522" max="11522" width="17" style="1" bestFit="1" customWidth="1"/>
    <col min="11523" max="11533" width="16.1796875" style="1" bestFit="1" customWidth="1"/>
    <col min="11534" max="11534" width="17" style="1" bestFit="1" customWidth="1"/>
    <col min="11535" max="11535" width="16.1796875" style="1" bestFit="1" customWidth="1"/>
    <col min="11536" max="11776" width="16" style="1"/>
    <col min="11777" max="11777" width="45.26953125" style="1" customWidth="1"/>
    <col min="11778" max="11778" width="17" style="1" bestFit="1" customWidth="1"/>
    <col min="11779" max="11789" width="16.1796875" style="1" bestFit="1" customWidth="1"/>
    <col min="11790" max="11790" width="17" style="1" bestFit="1" customWidth="1"/>
    <col min="11791" max="11791" width="16.1796875" style="1" bestFit="1" customWidth="1"/>
    <col min="11792" max="12032" width="16" style="1"/>
    <col min="12033" max="12033" width="45.26953125" style="1" customWidth="1"/>
    <col min="12034" max="12034" width="17" style="1" bestFit="1" customWidth="1"/>
    <col min="12035" max="12045" width="16.1796875" style="1" bestFit="1" customWidth="1"/>
    <col min="12046" max="12046" width="17" style="1" bestFit="1" customWidth="1"/>
    <col min="12047" max="12047" width="16.1796875" style="1" bestFit="1" customWidth="1"/>
    <col min="12048" max="12288" width="16" style="1"/>
    <col min="12289" max="12289" width="45.26953125" style="1" customWidth="1"/>
    <col min="12290" max="12290" width="17" style="1" bestFit="1" customWidth="1"/>
    <col min="12291" max="12301" width="16.1796875" style="1" bestFit="1" customWidth="1"/>
    <col min="12302" max="12302" width="17" style="1" bestFit="1" customWidth="1"/>
    <col min="12303" max="12303" width="16.1796875" style="1" bestFit="1" customWidth="1"/>
    <col min="12304" max="12544" width="16" style="1"/>
    <col min="12545" max="12545" width="45.26953125" style="1" customWidth="1"/>
    <col min="12546" max="12546" width="17" style="1" bestFit="1" customWidth="1"/>
    <col min="12547" max="12557" width="16.1796875" style="1" bestFit="1" customWidth="1"/>
    <col min="12558" max="12558" width="17" style="1" bestFit="1" customWidth="1"/>
    <col min="12559" max="12559" width="16.1796875" style="1" bestFit="1" customWidth="1"/>
    <col min="12560" max="12800" width="16" style="1"/>
    <col min="12801" max="12801" width="45.26953125" style="1" customWidth="1"/>
    <col min="12802" max="12802" width="17" style="1" bestFit="1" customWidth="1"/>
    <col min="12803" max="12813" width="16.1796875" style="1" bestFit="1" customWidth="1"/>
    <col min="12814" max="12814" width="17" style="1" bestFit="1" customWidth="1"/>
    <col min="12815" max="12815" width="16.1796875" style="1" bestFit="1" customWidth="1"/>
    <col min="12816" max="13056" width="16" style="1"/>
    <col min="13057" max="13057" width="45.26953125" style="1" customWidth="1"/>
    <col min="13058" max="13058" width="17" style="1" bestFit="1" customWidth="1"/>
    <col min="13059" max="13069" width="16.1796875" style="1" bestFit="1" customWidth="1"/>
    <col min="13070" max="13070" width="17" style="1" bestFit="1" customWidth="1"/>
    <col min="13071" max="13071" width="16.1796875" style="1" bestFit="1" customWidth="1"/>
    <col min="13072" max="13312" width="16" style="1"/>
    <col min="13313" max="13313" width="45.26953125" style="1" customWidth="1"/>
    <col min="13314" max="13314" width="17" style="1" bestFit="1" customWidth="1"/>
    <col min="13315" max="13325" width="16.1796875" style="1" bestFit="1" customWidth="1"/>
    <col min="13326" max="13326" width="17" style="1" bestFit="1" customWidth="1"/>
    <col min="13327" max="13327" width="16.1796875" style="1" bestFit="1" customWidth="1"/>
    <col min="13328" max="13568" width="16" style="1"/>
    <col min="13569" max="13569" width="45.26953125" style="1" customWidth="1"/>
    <col min="13570" max="13570" width="17" style="1" bestFit="1" customWidth="1"/>
    <col min="13571" max="13581" width="16.1796875" style="1" bestFit="1" customWidth="1"/>
    <col min="13582" max="13582" width="17" style="1" bestFit="1" customWidth="1"/>
    <col min="13583" max="13583" width="16.1796875" style="1" bestFit="1" customWidth="1"/>
    <col min="13584" max="13824" width="16" style="1"/>
    <col min="13825" max="13825" width="45.26953125" style="1" customWidth="1"/>
    <col min="13826" max="13826" width="17" style="1" bestFit="1" customWidth="1"/>
    <col min="13827" max="13837" width="16.1796875" style="1" bestFit="1" customWidth="1"/>
    <col min="13838" max="13838" width="17" style="1" bestFit="1" customWidth="1"/>
    <col min="13839" max="13839" width="16.1796875" style="1" bestFit="1" customWidth="1"/>
    <col min="13840" max="14080" width="16" style="1"/>
    <col min="14081" max="14081" width="45.26953125" style="1" customWidth="1"/>
    <col min="14082" max="14082" width="17" style="1" bestFit="1" customWidth="1"/>
    <col min="14083" max="14093" width="16.1796875" style="1" bestFit="1" customWidth="1"/>
    <col min="14094" max="14094" width="17" style="1" bestFit="1" customWidth="1"/>
    <col min="14095" max="14095" width="16.1796875" style="1" bestFit="1" customWidth="1"/>
    <col min="14096" max="14336" width="16" style="1"/>
    <col min="14337" max="14337" width="45.26953125" style="1" customWidth="1"/>
    <col min="14338" max="14338" width="17" style="1" bestFit="1" customWidth="1"/>
    <col min="14339" max="14349" width="16.1796875" style="1" bestFit="1" customWidth="1"/>
    <col min="14350" max="14350" width="17" style="1" bestFit="1" customWidth="1"/>
    <col min="14351" max="14351" width="16.1796875" style="1" bestFit="1" customWidth="1"/>
    <col min="14352" max="14592" width="16" style="1"/>
    <col min="14593" max="14593" width="45.26953125" style="1" customWidth="1"/>
    <col min="14594" max="14594" width="17" style="1" bestFit="1" customWidth="1"/>
    <col min="14595" max="14605" width="16.1796875" style="1" bestFit="1" customWidth="1"/>
    <col min="14606" max="14606" width="17" style="1" bestFit="1" customWidth="1"/>
    <col min="14607" max="14607" width="16.1796875" style="1" bestFit="1" customWidth="1"/>
    <col min="14608" max="14848" width="16" style="1"/>
    <col min="14849" max="14849" width="45.26953125" style="1" customWidth="1"/>
    <col min="14850" max="14850" width="17" style="1" bestFit="1" customWidth="1"/>
    <col min="14851" max="14861" width="16.1796875" style="1" bestFit="1" customWidth="1"/>
    <col min="14862" max="14862" width="17" style="1" bestFit="1" customWidth="1"/>
    <col min="14863" max="14863" width="16.1796875" style="1" bestFit="1" customWidth="1"/>
    <col min="14864" max="15104" width="16" style="1"/>
    <col min="15105" max="15105" width="45.26953125" style="1" customWidth="1"/>
    <col min="15106" max="15106" width="17" style="1" bestFit="1" customWidth="1"/>
    <col min="15107" max="15117" width="16.1796875" style="1" bestFit="1" customWidth="1"/>
    <col min="15118" max="15118" width="17" style="1" bestFit="1" customWidth="1"/>
    <col min="15119" max="15119" width="16.1796875" style="1" bestFit="1" customWidth="1"/>
    <col min="15120" max="15360" width="16" style="1"/>
    <col min="15361" max="15361" width="45.26953125" style="1" customWidth="1"/>
    <col min="15362" max="15362" width="17" style="1" bestFit="1" customWidth="1"/>
    <col min="15363" max="15373" width="16.1796875" style="1" bestFit="1" customWidth="1"/>
    <col min="15374" max="15374" width="17" style="1" bestFit="1" customWidth="1"/>
    <col min="15375" max="15375" width="16.1796875" style="1" bestFit="1" customWidth="1"/>
    <col min="15376" max="15616" width="16" style="1"/>
    <col min="15617" max="15617" width="45.26953125" style="1" customWidth="1"/>
    <col min="15618" max="15618" width="17" style="1" bestFit="1" customWidth="1"/>
    <col min="15619" max="15629" width="16.1796875" style="1" bestFit="1" customWidth="1"/>
    <col min="15630" max="15630" width="17" style="1" bestFit="1" customWidth="1"/>
    <col min="15631" max="15631" width="16.1796875" style="1" bestFit="1" customWidth="1"/>
    <col min="15632" max="15872" width="16" style="1"/>
    <col min="15873" max="15873" width="45.26953125" style="1" customWidth="1"/>
    <col min="15874" max="15874" width="17" style="1" bestFit="1" customWidth="1"/>
    <col min="15875" max="15885" width="16.1796875" style="1" bestFit="1" customWidth="1"/>
    <col min="15886" max="15886" width="17" style="1" bestFit="1" customWidth="1"/>
    <col min="15887" max="15887" width="16.1796875" style="1" bestFit="1" customWidth="1"/>
    <col min="15888" max="16128" width="16" style="1"/>
    <col min="16129" max="16129" width="45.26953125" style="1" customWidth="1"/>
    <col min="16130" max="16130" width="17" style="1" bestFit="1" customWidth="1"/>
    <col min="16131" max="16141" width="16.1796875" style="1" bestFit="1" customWidth="1"/>
    <col min="16142" max="16142" width="17" style="1" bestFit="1" customWidth="1"/>
    <col min="16143" max="16143" width="16.1796875" style="1" bestFit="1" customWidth="1"/>
    <col min="16144" max="16384" width="16" style="1"/>
  </cols>
  <sheetData>
    <row r="1" spans="1:19" ht="18" customHeight="1" thickBot="1" x14ac:dyDescent="0.35">
      <c r="R1" s="799" t="s">
        <v>66</v>
      </c>
      <c r="S1" s="800"/>
    </row>
    <row r="3" spans="1:19" ht="23.5" x14ac:dyDescent="0.55000000000000004">
      <c r="A3" s="783" t="s">
        <v>67</v>
      </c>
      <c r="B3" s="783"/>
      <c r="C3" s="783"/>
      <c r="D3" s="783"/>
      <c r="E3" s="783"/>
      <c r="F3" s="783"/>
      <c r="G3" s="783"/>
      <c r="H3" s="783"/>
      <c r="I3" s="783"/>
      <c r="J3" s="783"/>
      <c r="K3" s="783"/>
      <c r="L3" s="783"/>
      <c r="M3" s="783"/>
      <c r="N3" s="783"/>
      <c r="O3" s="783"/>
      <c r="P3" s="783"/>
      <c r="Q3" s="783"/>
      <c r="R3" s="783"/>
      <c r="S3" s="783"/>
    </row>
    <row r="4" spans="1:19" ht="23.5" x14ac:dyDescent="0.55000000000000004">
      <c r="A4" s="783" t="s">
        <v>3</v>
      </c>
      <c r="B4" s="783"/>
      <c r="C4" s="783"/>
      <c r="D4" s="783"/>
      <c r="E4" s="783"/>
      <c r="F4" s="783"/>
      <c r="G4" s="783"/>
      <c r="H4" s="783"/>
      <c r="I4" s="783"/>
      <c r="J4" s="783"/>
      <c r="K4" s="783"/>
      <c r="L4" s="783"/>
      <c r="M4" s="783"/>
      <c r="N4" s="783"/>
      <c r="O4" s="783"/>
      <c r="P4" s="783"/>
      <c r="Q4" s="783"/>
      <c r="R4" s="783"/>
      <c r="S4" s="783"/>
    </row>
    <row r="5" spans="1:19" ht="18" customHeight="1" x14ac:dyDescent="0.45">
      <c r="A5" s="784" t="s">
        <v>277</v>
      </c>
      <c r="B5" s="784"/>
      <c r="C5" s="784"/>
      <c r="D5" s="784"/>
      <c r="E5" s="784"/>
      <c r="F5" s="784"/>
      <c r="G5" s="784"/>
      <c r="H5" s="784"/>
      <c r="I5" s="784"/>
      <c r="J5" s="784"/>
      <c r="K5" s="784"/>
      <c r="L5" s="784"/>
      <c r="M5" s="784"/>
      <c r="N5" s="784"/>
      <c r="O5" s="784"/>
      <c r="P5" s="784"/>
      <c r="Q5" s="784"/>
      <c r="R5" s="784"/>
      <c r="S5" s="784"/>
    </row>
    <row r="6" spans="1:19" ht="18" customHeight="1" x14ac:dyDescent="0.45">
      <c r="A6" s="784" t="s">
        <v>36</v>
      </c>
      <c r="B6" s="784"/>
      <c r="C6" s="784"/>
      <c r="D6" s="784"/>
      <c r="E6" s="784"/>
      <c r="F6" s="784"/>
      <c r="G6" s="784"/>
      <c r="H6" s="784"/>
      <c r="I6" s="784"/>
      <c r="J6" s="784"/>
      <c r="K6" s="784"/>
      <c r="L6" s="784"/>
      <c r="M6" s="784"/>
      <c r="N6" s="784"/>
      <c r="O6" s="784"/>
      <c r="P6" s="784"/>
      <c r="Q6" s="784"/>
      <c r="R6" s="784"/>
      <c r="S6" s="784"/>
    </row>
    <row r="7" spans="1:19" ht="15.5" x14ac:dyDescent="0.35">
      <c r="A7" s="19"/>
      <c r="B7" s="19"/>
      <c r="C7" s="19"/>
      <c r="D7" s="19"/>
      <c r="E7" s="19"/>
      <c r="F7" s="19"/>
      <c r="G7" s="19"/>
      <c r="H7" s="19"/>
      <c r="I7" s="19"/>
      <c r="J7" s="19"/>
      <c r="K7" s="19"/>
      <c r="L7" s="19"/>
      <c r="M7" s="19"/>
      <c r="N7" s="19"/>
      <c r="O7" s="19"/>
      <c r="P7" s="19"/>
      <c r="Q7" s="19"/>
      <c r="R7" s="20"/>
      <c r="S7" s="20"/>
    </row>
    <row r="8" spans="1:19" ht="16" thickBot="1" x14ac:dyDescent="0.4">
      <c r="A8" s="19"/>
      <c r="B8" s="19"/>
      <c r="C8" s="19"/>
      <c r="D8" s="19"/>
      <c r="E8" s="19"/>
      <c r="F8" s="19"/>
      <c r="G8" s="19"/>
      <c r="H8" s="19"/>
      <c r="I8" s="19"/>
      <c r="J8" s="19"/>
      <c r="K8" s="19"/>
      <c r="L8" s="19"/>
      <c r="M8" s="19"/>
      <c r="N8" s="19"/>
      <c r="O8" s="19"/>
      <c r="P8" s="19"/>
      <c r="Q8" s="19"/>
      <c r="R8" s="20"/>
      <c r="S8" s="20"/>
    </row>
    <row r="9" spans="1:19" ht="15" customHeight="1" thickBot="1" x14ac:dyDescent="0.35">
      <c r="A9" s="21"/>
      <c r="B9" s="791" t="s">
        <v>37</v>
      </c>
      <c r="C9" s="792"/>
      <c r="D9" s="792"/>
      <c r="E9" s="792"/>
      <c r="F9" s="792"/>
      <c r="G9" s="793"/>
      <c r="H9" s="791" t="s">
        <v>38</v>
      </c>
      <c r="I9" s="792"/>
      <c r="J9" s="792"/>
      <c r="K9" s="792"/>
      <c r="L9" s="792"/>
      <c r="M9" s="793"/>
      <c r="N9" s="794" t="s">
        <v>39</v>
      </c>
      <c r="O9" s="795"/>
      <c r="P9" s="795"/>
      <c r="Q9" s="795"/>
      <c r="R9" s="795"/>
      <c r="S9" s="796"/>
    </row>
    <row r="10" spans="1:19" ht="15" customHeight="1" thickBot="1" x14ac:dyDescent="0.35">
      <c r="A10" s="22" t="s">
        <v>40</v>
      </c>
      <c r="B10" s="785" t="s">
        <v>41</v>
      </c>
      <c r="C10" s="791" t="s">
        <v>42</v>
      </c>
      <c r="D10" s="793"/>
      <c r="E10" s="785" t="s">
        <v>43</v>
      </c>
      <c r="F10" s="797" t="s">
        <v>44</v>
      </c>
      <c r="G10" s="798"/>
      <c r="H10" s="785" t="s">
        <v>41</v>
      </c>
      <c r="I10" s="791" t="s">
        <v>42</v>
      </c>
      <c r="J10" s="793"/>
      <c r="K10" s="785" t="s">
        <v>43</v>
      </c>
      <c r="L10" s="791" t="s">
        <v>44</v>
      </c>
      <c r="M10" s="793"/>
      <c r="N10" s="785" t="s">
        <v>41</v>
      </c>
      <c r="O10" s="791" t="s">
        <v>42</v>
      </c>
      <c r="P10" s="793"/>
      <c r="Q10" s="785" t="s">
        <v>43</v>
      </c>
      <c r="R10" s="797" t="s">
        <v>44</v>
      </c>
      <c r="S10" s="798"/>
    </row>
    <row r="11" spans="1:19" ht="39" customHeight="1" thickBot="1" x14ac:dyDescent="0.35">
      <c r="A11" s="23"/>
      <c r="B11" s="787"/>
      <c r="C11" s="24" t="s">
        <v>45</v>
      </c>
      <c r="D11" s="24" t="s">
        <v>11</v>
      </c>
      <c r="E11" s="787"/>
      <c r="F11" s="25" t="s">
        <v>69</v>
      </c>
      <c r="G11" s="25" t="s">
        <v>47</v>
      </c>
      <c r="H11" s="787"/>
      <c r="I11" s="24" t="s">
        <v>45</v>
      </c>
      <c r="J11" s="24" t="s">
        <v>11</v>
      </c>
      <c r="K11" s="787"/>
      <c r="L11" s="25" t="s">
        <v>46</v>
      </c>
      <c r="M11" s="25" t="s">
        <v>47</v>
      </c>
      <c r="N11" s="787"/>
      <c r="O11" s="24" t="s">
        <v>45</v>
      </c>
      <c r="P11" s="24" t="s">
        <v>11</v>
      </c>
      <c r="Q11" s="787"/>
      <c r="R11" s="25" t="s">
        <v>46</v>
      </c>
      <c r="S11" s="25" t="s">
        <v>47</v>
      </c>
    </row>
    <row r="12" spans="1:19" ht="15" customHeight="1" x14ac:dyDescent="0.3">
      <c r="A12" s="6"/>
      <c r="B12" s="6"/>
      <c r="C12" s="6"/>
      <c r="D12" s="6"/>
      <c r="E12" s="6"/>
      <c r="F12" s="6"/>
      <c r="G12" s="6"/>
      <c r="H12" s="6"/>
      <c r="I12" s="6"/>
      <c r="J12" s="6"/>
      <c r="K12" s="6"/>
      <c r="L12" s="6"/>
      <c r="M12" s="6"/>
      <c r="N12" s="6"/>
      <c r="O12" s="6"/>
      <c r="P12" s="6"/>
      <c r="Q12" s="6"/>
      <c r="R12" s="6"/>
      <c r="S12" s="6"/>
    </row>
    <row r="13" spans="1:19" ht="15" customHeight="1" x14ac:dyDescent="0.3">
      <c r="A13" s="27" t="s">
        <v>39</v>
      </c>
      <c r="B13" s="28">
        <v>532788872.20999992</v>
      </c>
      <c r="C13" s="28">
        <v>604439</v>
      </c>
      <c r="D13" s="28">
        <v>317363190.07999998</v>
      </c>
      <c r="E13" s="28">
        <v>2080890.5899999999</v>
      </c>
      <c r="F13" s="28">
        <v>2861061.3699999992</v>
      </c>
      <c r="G13" s="28">
        <v>22708.52</v>
      </c>
      <c r="H13" s="28">
        <v>34635193.820000008</v>
      </c>
      <c r="I13" s="28">
        <v>101846</v>
      </c>
      <c r="J13" s="28">
        <v>13612749.390000001</v>
      </c>
      <c r="K13" s="28">
        <v>0</v>
      </c>
      <c r="L13" s="28">
        <v>2169759.25</v>
      </c>
      <c r="M13" s="648">
        <v>0</v>
      </c>
      <c r="N13" s="28">
        <v>567424066.02999997</v>
      </c>
      <c r="O13" s="28">
        <v>706285</v>
      </c>
      <c r="P13" s="28">
        <v>330975939.46999997</v>
      </c>
      <c r="Q13" s="28">
        <v>2080890.5899999999</v>
      </c>
      <c r="R13" s="28">
        <v>5030820.6199999992</v>
      </c>
      <c r="S13" s="28">
        <v>22708.52</v>
      </c>
    </row>
    <row r="14" spans="1:19" ht="15" customHeight="1" x14ac:dyDescent="0.3">
      <c r="A14" s="6"/>
      <c r="B14" s="30"/>
      <c r="C14" s="30"/>
      <c r="D14" s="30"/>
      <c r="E14" s="30"/>
      <c r="F14" s="30"/>
      <c r="G14" s="30"/>
      <c r="H14" s="30"/>
      <c r="I14" s="30"/>
      <c r="J14" s="30"/>
      <c r="K14" s="30"/>
      <c r="L14" s="30"/>
      <c r="M14" s="648"/>
      <c r="N14" s="30"/>
      <c r="O14" s="30"/>
      <c r="P14" s="30"/>
      <c r="Q14" s="30"/>
      <c r="R14" s="30"/>
      <c r="S14" s="30"/>
    </row>
    <row r="15" spans="1:19" ht="15" customHeight="1" x14ac:dyDescent="0.3">
      <c r="A15" s="11" t="s">
        <v>48</v>
      </c>
      <c r="B15" s="28">
        <v>143808980.04999998</v>
      </c>
      <c r="C15" s="28">
        <v>24384</v>
      </c>
      <c r="D15" s="28">
        <v>56321815.530000001</v>
      </c>
      <c r="E15" s="28">
        <v>2080890.5899999999</v>
      </c>
      <c r="F15" s="28">
        <v>2861061.3699999992</v>
      </c>
      <c r="G15" s="28">
        <v>22708.52</v>
      </c>
      <c r="H15" s="28">
        <v>14669951.199999999</v>
      </c>
      <c r="I15" s="28">
        <v>248</v>
      </c>
      <c r="J15" s="28">
        <v>2333200.1800000006</v>
      </c>
      <c r="K15" s="28">
        <v>0</v>
      </c>
      <c r="L15" s="28">
        <v>2169759.25</v>
      </c>
      <c r="M15" s="648">
        <v>0</v>
      </c>
      <c r="N15" s="28">
        <v>158478931.24999997</v>
      </c>
      <c r="O15" s="28">
        <v>24632</v>
      </c>
      <c r="P15" s="28">
        <v>58655015.710000001</v>
      </c>
      <c r="Q15" s="28">
        <v>2080890.5899999999</v>
      </c>
      <c r="R15" s="28">
        <v>5030820.6199999992</v>
      </c>
      <c r="S15" s="28">
        <v>22708.52</v>
      </c>
    </row>
    <row r="16" spans="1:19" ht="15" customHeight="1" x14ac:dyDescent="0.3">
      <c r="A16" s="6"/>
      <c r="B16" s="30"/>
      <c r="C16" s="30"/>
      <c r="D16" s="30"/>
      <c r="E16" s="30"/>
      <c r="F16" s="30"/>
      <c r="G16" s="30"/>
      <c r="H16" s="30"/>
      <c r="I16" s="30"/>
      <c r="J16" s="30"/>
      <c r="K16" s="30"/>
      <c r="L16" s="30"/>
      <c r="M16" s="648"/>
      <c r="N16" s="30"/>
      <c r="O16" s="30"/>
      <c r="P16" s="30"/>
      <c r="Q16" s="30"/>
      <c r="R16" s="30"/>
      <c r="S16" s="30"/>
    </row>
    <row r="17" spans="1:19" ht="15" customHeight="1" x14ac:dyDescent="0.3">
      <c r="A17" s="6" t="s">
        <v>49</v>
      </c>
      <c r="B17" s="649">
        <v>16917656.120000001</v>
      </c>
      <c r="C17" s="649">
        <v>634</v>
      </c>
      <c r="D17" s="649">
        <v>1771219.1000000003</v>
      </c>
      <c r="E17" s="649">
        <v>2030234.5799999998</v>
      </c>
      <c r="F17" s="649">
        <v>2750454.4899999993</v>
      </c>
      <c r="G17" s="649">
        <v>22708.52</v>
      </c>
      <c r="H17" s="30">
        <v>10479131.26</v>
      </c>
      <c r="I17" s="30">
        <v>15</v>
      </c>
      <c r="J17" s="30">
        <v>1392857.1400000001</v>
      </c>
      <c r="K17" s="30">
        <v>0</v>
      </c>
      <c r="L17" s="30">
        <v>2169759.25</v>
      </c>
      <c r="M17" s="648">
        <v>0</v>
      </c>
      <c r="N17" s="30">
        <v>27396787.380000003</v>
      </c>
      <c r="O17" s="30">
        <v>649</v>
      </c>
      <c r="P17" s="30">
        <v>3164076.24</v>
      </c>
      <c r="Q17" s="30">
        <v>2030234.5799999998</v>
      </c>
      <c r="R17" s="30">
        <v>4920213.7399999993</v>
      </c>
      <c r="S17" s="650">
        <v>22708.52</v>
      </c>
    </row>
    <row r="18" spans="1:19" ht="15" customHeight="1" x14ac:dyDescent="0.3">
      <c r="A18" s="6" t="s">
        <v>50</v>
      </c>
      <c r="B18" s="30">
        <v>45249198.739999995</v>
      </c>
      <c r="C18" s="30">
        <v>6290</v>
      </c>
      <c r="D18" s="30">
        <v>18963272.799999997</v>
      </c>
      <c r="E18" s="30">
        <v>50656.01</v>
      </c>
      <c r="F18" s="30">
        <v>110606.88</v>
      </c>
      <c r="G18" s="650">
        <v>0</v>
      </c>
      <c r="H18" s="649">
        <v>569334.09</v>
      </c>
      <c r="I18" s="649">
        <v>0</v>
      </c>
      <c r="J18" s="649">
        <v>0</v>
      </c>
      <c r="K18" s="649">
        <v>0</v>
      </c>
      <c r="L18" s="649">
        <v>0</v>
      </c>
      <c r="M18" s="648">
        <v>0</v>
      </c>
      <c r="N18" s="30">
        <v>45818532.829999998</v>
      </c>
      <c r="O18" s="30">
        <v>6290</v>
      </c>
      <c r="P18" s="30">
        <v>18963272.799999997</v>
      </c>
      <c r="Q18" s="30">
        <v>50656.01</v>
      </c>
      <c r="R18" s="30">
        <v>110606.88</v>
      </c>
      <c r="S18" s="650">
        <v>0</v>
      </c>
    </row>
    <row r="19" spans="1:19" ht="15" customHeight="1" x14ac:dyDescent="0.3">
      <c r="A19" s="6" t="s">
        <v>51</v>
      </c>
      <c r="B19" s="30">
        <v>81642125.189999983</v>
      </c>
      <c r="C19" s="30">
        <v>17460</v>
      </c>
      <c r="D19" s="30">
        <v>35587323.630000003</v>
      </c>
      <c r="E19" s="30"/>
      <c r="F19" s="30"/>
      <c r="G19" s="30"/>
      <c r="H19" s="30">
        <v>3621485.85</v>
      </c>
      <c r="I19" s="30">
        <v>233</v>
      </c>
      <c r="J19" s="30">
        <v>940343.04000000027</v>
      </c>
      <c r="K19" s="649">
        <v>0</v>
      </c>
      <c r="L19" s="649">
        <v>0</v>
      </c>
      <c r="M19" s="648">
        <v>0</v>
      </c>
      <c r="N19" s="30">
        <v>85263611.039999977</v>
      </c>
      <c r="O19" s="30">
        <v>17693</v>
      </c>
      <c r="P19" s="30">
        <v>36527666.670000002</v>
      </c>
      <c r="Q19" s="30">
        <v>0</v>
      </c>
      <c r="R19" s="30">
        <v>0</v>
      </c>
      <c r="S19" s="30">
        <v>0</v>
      </c>
    </row>
    <row r="20" spans="1:19" ht="15" customHeight="1" x14ac:dyDescent="0.3">
      <c r="A20" s="6"/>
      <c r="B20" s="30"/>
      <c r="C20" s="30"/>
      <c r="D20" s="30"/>
      <c r="E20" s="30"/>
      <c r="F20" s="30"/>
      <c r="G20" s="30"/>
      <c r="H20" s="649"/>
      <c r="I20" s="649"/>
      <c r="J20" s="649"/>
      <c r="K20" s="649"/>
      <c r="L20" s="649"/>
      <c r="M20" s="648"/>
      <c r="N20" s="30"/>
      <c r="O20" s="30"/>
      <c r="P20" s="30"/>
      <c r="Q20" s="30"/>
      <c r="R20" s="30"/>
      <c r="S20" s="30"/>
    </row>
    <row r="21" spans="1:19" ht="15" customHeight="1" x14ac:dyDescent="0.3">
      <c r="A21" s="11" t="s">
        <v>52</v>
      </c>
      <c r="B21" s="28">
        <v>59445653.719999999</v>
      </c>
      <c r="C21" s="28">
        <v>9538</v>
      </c>
      <c r="D21" s="28">
        <v>39293232.799999997</v>
      </c>
      <c r="E21" s="650">
        <v>0</v>
      </c>
      <c r="F21" s="650">
        <v>0</v>
      </c>
      <c r="G21" s="650">
        <v>0</v>
      </c>
      <c r="H21" s="650">
        <v>0</v>
      </c>
      <c r="I21" s="650">
        <v>44</v>
      </c>
      <c r="J21" s="650">
        <v>31306.6</v>
      </c>
      <c r="K21" s="650">
        <v>0</v>
      </c>
      <c r="L21" s="650">
        <v>0</v>
      </c>
      <c r="M21" s="648">
        <v>0</v>
      </c>
      <c r="N21" s="28">
        <v>59445653.719999999</v>
      </c>
      <c r="O21" s="28">
        <v>9582</v>
      </c>
      <c r="P21" s="28">
        <v>39324539.399999999</v>
      </c>
      <c r="Q21" s="650">
        <v>0</v>
      </c>
      <c r="R21" s="650">
        <v>0</v>
      </c>
      <c r="S21" s="650">
        <v>0</v>
      </c>
    </row>
    <row r="22" spans="1:19" ht="15" customHeight="1" x14ac:dyDescent="0.3">
      <c r="A22" s="6"/>
      <c r="B22" s="30"/>
      <c r="C22" s="30"/>
      <c r="D22" s="30"/>
      <c r="E22" s="30"/>
      <c r="F22" s="30"/>
      <c r="G22" s="30"/>
      <c r="H22" s="30"/>
      <c r="I22" s="30"/>
      <c r="J22" s="30"/>
      <c r="K22" s="30"/>
      <c r="L22" s="30"/>
      <c r="M22" s="30"/>
      <c r="N22" s="30"/>
      <c r="O22" s="30"/>
      <c r="P22" s="30"/>
      <c r="Q22" s="648"/>
      <c r="R22" s="648"/>
      <c r="S22" s="28"/>
    </row>
    <row r="23" spans="1:19" ht="15" customHeight="1" x14ac:dyDescent="0.3">
      <c r="A23" s="11" t="s">
        <v>1</v>
      </c>
      <c r="B23" s="28">
        <v>91579999.269999981</v>
      </c>
      <c r="C23" s="28">
        <v>485003</v>
      </c>
      <c r="D23" s="28">
        <v>127913011.42</v>
      </c>
      <c r="E23" s="648">
        <v>0</v>
      </c>
      <c r="F23" s="648">
        <v>0</v>
      </c>
      <c r="G23" s="648">
        <v>0</v>
      </c>
      <c r="H23" s="28">
        <v>19965242.620000005</v>
      </c>
      <c r="I23" s="28">
        <v>101554</v>
      </c>
      <c r="J23" s="28">
        <v>11248242.609999999</v>
      </c>
      <c r="K23" s="648">
        <v>0</v>
      </c>
      <c r="L23" s="648">
        <v>0</v>
      </c>
      <c r="M23" s="648">
        <v>0</v>
      </c>
      <c r="N23" s="28">
        <v>111545241.88999999</v>
      </c>
      <c r="O23" s="28">
        <v>586557</v>
      </c>
      <c r="P23" s="28">
        <v>139161254.03</v>
      </c>
      <c r="Q23" s="650">
        <v>0</v>
      </c>
      <c r="R23" s="650">
        <v>0</v>
      </c>
      <c r="S23" s="650">
        <v>0</v>
      </c>
    </row>
    <row r="24" spans="1:19" ht="15" customHeight="1" x14ac:dyDescent="0.3">
      <c r="A24" s="6"/>
      <c r="B24" s="30"/>
      <c r="C24" s="30"/>
      <c r="D24" s="30"/>
      <c r="E24" s="30"/>
      <c r="F24" s="30"/>
      <c r="G24" s="30"/>
      <c r="H24" s="30"/>
      <c r="I24" s="30"/>
      <c r="J24" s="30"/>
      <c r="K24" s="648"/>
      <c r="L24" s="648"/>
      <c r="M24" s="648"/>
      <c r="N24" s="30"/>
      <c r="O24" s="30"/>
      <c r="P24" s="30"/>
      <c r="Q24" s="650"/>
      <c r="R24" s="650"/>
      <c r="S24" s="650"/>
    </row>
    <row r="25" spans="1:19" ht="15" customHeight="1" x14ac:dyDescent="0.3">
      <c r="A25" s="6" t="s">
        <v>53</v>
      </c>
      <c r="B25" s="30">
        <v>8106102.9899999993</v>
      </c>
      <c r="C25" s="30">
        <v>11004</v>
      </c>
      <c r="D25" s="30">
        <v>2290324.7999999998</v>
      </c>
      <c r="E25" s="648">
        <v>0</v>
      </c>
      <c r="F25" s="648">
        <v>0</v>
      </c>
      <c r="G25" s="648">
        <v>0</v>
      </c>
      <c r="H25" s="648">
        <v>432145.01000000007</v>
      </c>
      <c r="I25" s="649">
        <v>16</v>
      </c>
      <c r="J25" s="649">
        <v>3058.6499999999996</v>
      </c>
      <c r="K25" s="648">
        <v>0</v>
      </c>
      <c r="L25" s="648">
        <v>0</v>
      </c>
      <c r="M25" s="648">
        <v>0</v>
      </c>
      <c r="N25" s="30">
        <v>8538248</v>
      </c>
      <c r="O25" s="30">
        <v>11020</v>
      </c>
      <c r="P25" s="30">
        <v>2293383.4499999997</v>
      </c>
      <c r="Q25" s="650">
        <v>0</v>
      </c>
      <c r="R25" s="650">
        <v>0</v>
      </c>
      <c r="S25" s="650">
        <v>0</v>
      </c>
    </row>
    <row r="26" spans="1:19" ht="15" customHeight="1" x14ac:dyDescent="0.3">
      <c r="A26" s="6" t="s">
        <v>70</v>
      </c>
      <c r="B26" s="30">
        <v>83473896.279999986</v>
      </c>
      <c r="C26" s="30">
        <v>473999</v>
      </c>
      <c r="D26" s="30">
        <v>125622686.62</v>
      </c>
      <c r="E26" s="648">
        <v>0</v>
      </c>
      <c r="F26" s="648">
        <v>0</v>
      </c>
      <c r="G26" s="648">
        <v>0</v>
      </c>
      <c r="H26" s="30">
        <v>19533097.610000003</v>
      </c>
      <c r="I26" s="30">
        <v>101538</v>
      </c>
      <c r="J26" s="30">
        <v>11245183.959999999</v>
      </c>
      <c r="K26" s="648">
        <v>0</v>
      </c>
      <c r="L26" s="648">
        <v>0</v>
      </c>
      <c r="M26" s="648">
        <v>0</v>
      </c>
      <c r="N26" s="30">
        <v>103006993.88999999</v>
      </c>
      <c r="O26" s="30">
        <v>575537</v>
      </c>
      <c r="P26" s="30">
        <v>136867870.58000001</v>
      </c>
      <c r="Q26" s="650">
        <v>0</v>
      </c>
      <c r="R26" s="650">
        <v>0</v>
      </c>
      <c r="S26" s="650">
        <v>0</v>
      </c>
    </row>
    <row r="27" spans="1:19" ht="15" customHeight="1" x14ac:dyDescent="0.3">
      <c r="A27" s="6"/>
      <c r="B27" s="30"/>
      <c r="C27" s="30"/>
      <c r="D27" s="30"/>
      <c r="E27" s="648"/>
      <c r="F27" s="648"/>
      <c r="G27" s="648"/>
      <c r="H27" s="34"/>
      <c r="I27" s="30"/>
      <c r="J27" s="30"/>
      <c r="K27" s="648"/>
      <c r="L27" s="648"/>
      <c r="M27" s="648"/>
      <c r="N27" s="30"/>
      <c r="O27" s="30"/>
      <c r="P27" s="30"/>
      <c r="Q27" s="650"/>
      <c r="R27" s="650"/>
      <c r="S27" s="650"/>
    </row>
    <row r="28" spans="1:19" ht="15" customHeight="1" x14ac:dyDescent="0.3">
      <c r="A28" s="11" t="s">
        <v>55</v>
      </c>
      <c r="B28" s="28">
        <v>225478503.69999999</v>
      </c>
      <c r="C28" s="28">
        <v>85471</v>
      </c>
      <c r="D28" s="28">
        <v>91413019.870000005</v>
      </c>
      <c r="E28" s="648">
        <v>0</v>
      </c>
      <c r="F28" s="648">
        <v>0</v>
      </c>
      <c r="G28" s="648">
        <v>0</v>
      </c>
      <c r="H28" s="648">
        <v>0</v>
      </c>
      <c r="I28" s="648">
        <v>0</v>
      </c>
      <c r="J28" s="648">
        <v>0</v>
      </c>
      <c r="K28" s="648">
        <v>0</v>
      </c>
      <c r="L28" s="648">
        <v>0</v>
      </c>
      <c r="M28" s="648">
        <v>0</v>
      </c>
      <c r="N28" s="28">
        <v>225478503.69999999</v>
      </c>
      <c r="O28" s="28">
        <v>85471</v>
      </c>
      <c r="P28" s="28">
        <v>91413019.870000005</v>
      </c>
      <c r="Q28" s="650">
        <v>0</v>
      </c>
      <c r="R28" s="650">
        <v>0</v>
      </c>
      <c r="S28" s="650">
        <v>0</v>
      </c>
    </row>
    <row r="29" spans="1:19" ht="15" customHeight="1" x14ac:dyDescent="0.3">
      <c r="A29" s="6"/>
      <c r="B29" s="30"/>
      <c r="C29" s="30"/>
      <c r="D29" s="30"/>
      <c r="E29" s="648"/>
      <c r="F29" s="648"/>
      <c r="G29" s="648"/>
      <c r="H29" s="30"/>
      <c r="I29" s="30"/>
      <c r="J29" s="30"/>
      <c r="K29" s="30"/>
      <c r="L29" s="30"/>
      <c r="M29" s="30"/>
      <c r="N29" s="30"/>
      <c r="O29" s="30"/>
      <c r="P29" s="30"/>
      <c r="Q29" s="648"/>
      <c r="R29" s="648"/>
      <c r="S29" s="648"/>
    </row>
    <row r="30" spans="1:19" ht="15" customHeight="1" x14ac:dyDescent="0.3">
      <c r="A30" s="6" t="s">
        <v>56</v>
      </c>
      <c r="B30" s="648">
        <v>207118.50000000006</v>
      </c>
      <c r="C30" s="30">
        <v>20</v>
      </c>
      <c r="D30" s="30">
        <v>4697.9199999999992</v>
      </c>
      <c r="E30" s="648">
        <v>0</v>
      </c>
      <c r="F30" s="648">
        <v>0</v>
      </c>
      <c r="G30" s="648">
        <v>0</v>
      </c>
      <c r="H30" s="648">
        <v>0</v>
      </c>
      <c r="I30" s="648">
        <v>0</v>
      </c>
      <c r="J30" s="648">
        <v>0</v>
      </c>
      <c r="K30" s="648">
        <v>0</v>
      </c>
      <c r="L30" s="648">
        <v>0</v>
      </c>
      <c r="M30" s="648">
        <v>0</v>
      </c>
      <c r="N30" s="650">
        <v>207118.50000000006</v>
      </c>
      <c r="O30" s="30">
        <v>20</v>
      </c>
      <c r="P30" s="30">
        <v>4697.9199999999992</v>
      </c>
      <c r="Q30" s="650">
        <v>0</v>
      </c>
      <c r="R30" s="650">
        <v>0</v>
      </c>
      <c r="S30" s="650">
        <v>0</v>
      </c>
    </row>
    <row r="31" spans="1:19" ht="15" customHeight="1" x14ac:dyDescent="0.3">
      <c r="A31" s="6" t="s">
        <v>57</v>
      </c>
      <c r="B31" s="30">
        <v>83905657.520000011</v>
      </c>
      <c r="C31" s="30">
        <v>9346</v>
      </c>
      <c r="D31" s="30">
        <v>12770570.279999999</v>
      </c>
      <c r="E31" s="648">
        <v>0</v>
      </c>
      <c r="F31" s="648">
        <v>0</v>
      </c>
      <c r="G31" s="648">
        <v>0</v>
      </c>
      <c r="H31" s="648">
        <v>0</v>
      </c>
      <c r="I31" s="648">
        <v>0</v>
      </c>
      <c r="J31" s="648">
        <v>0</v>
      </c>
      <c r="K31" s="648">
        <v>0</v>
      </c>
      <c r="L31" s="648">
        <v>0</v>
      </c>
      <c r="M31" s="648">
        <v>0</v>
      </c>
      <c r="N31" s="30">
        <v>83905657.520000011</v>
      </c>
      <c r="O31" s="30">
        <v>9346</v>
      </c>
      <c r="P31" s="30">
        <v>12770570.279999999</v>
      </c>
      <c r="Q31" s="650">
        <v>0</v>
      </c>
      <c r="R31" s="650">
        <v>0</v>
      </c>
      <c r="S31" s="650">
        <v>0</v>
      </c>
    </row>
    <row r="32" spans="1:19" ht="15" customHeight="1" x14ac:dyDescent="0.3">
      <c r="A32" s="6" t="s">
        <v>58</v>
      </c>
      <c r="B32" s="30">
        <v>68060626.689999998</v>
      </c>
      <c r="C32" s="30">
        <v>68754</v>
      </c>
      <c r="D32" s="30">
        <v>56985303.140000001</v>
      </c>
      <c r="E32" s="648">
        <v>0</v>
      </c>
      <c r="F32" s="648">
        <v>0</v>
      </c>
      <c r="G32" s="648">
        <v>0</v>
      </c>
      <c r="H32" s="648">
        <v>0</v>
      </c>
      <c r="I32" s="648">
        <v>0</v>
      </c>
      <c r="J32" s="648">
        <v>0</v>
      </c>
      <c r="K32" s="648">
        <v>0</v>
      </c>
      <c r="L32" s="648">
        <v>0</v>
      </c>
      <c r="M32" s="648">
        <v>0</v>
      </c>
      <c r="N32" s="30">
        <v>68060626.689999998</v>
      </c>
      <c r="O32" s="30">
        <v>68754</v>
      </c>
      <c r="P32" s="30">
        <v>56985303.140000001</v>
      </c>
      <c r="Q32" s="650">
        <v>0</v>
      </c>
      <c r="R32" s="650">
        <v>0</v>
      </c>
      <c r="S32" s="650">
        <v>0</v>
      </c>
    </row>
    <row r="33" spans="1:19" ht="15" customHeight="1" x14ac:dyDescent="0.3">
      <c r="A33" s="6" t="s">
        <v>59</v>
      </c>
      <c r="B33" s="30">
        <v>14045598.85</v>
      </c>
      <c r="C33" s="30">
        <v>1029</v>
      </c>
      <c r="D33" s="30">
        <v>3220738.0800000005</v>
      </c>
      <c r="E33" s="648">
        <v>0</v>
      </c>
      <c r="F33" s="648">
        <v>0</v>
      </c>
      <c r="G33" s="648">
        <v>0</v>
      </c>
      <c r="H33" s="648">
        <v>0</v>
      </c>
      <c r="I33" s="648">
        <v>0</v>
      </c>
      <c r="J33" s="648">
        <v>0</v>
      </c>
      <c r="K33" s="648">
        <v>0</v>
      </c>
      <c r="L33" s="648">
        <v>0</v>
      </c>
      <c r="M33" s="648">
        <v>0</v>
      </c>
      <c r="N33" s="30">
        <v>14045598.85</v>
      </c>
      <c r="O33" s="30">
        <v>1029</v>
      </c>
      <c r="P33" s="30">
        <v>3220738.0800000005</v>
      </c>
      <c r="Q33" s="650">
        <v>0</v>
      </c>
      <c r="R33" s="650">
        <v>0</v>
      </c>
      <c r="S33" s="650">
        <v>0</v>
      </c>
    </row>
    <row r="34" spans="1:19" ht="15" customHeight="1" x14ac:dyDescent="0.3">
      <c r="A34" s="6" t="s">
        <v>60</v>
      </c>
      <c r="B34" s="30">
        <v>59259502.139999993</v>
      </c>
      <c r="C34" s="30">
        <v>6322</v>
      </c>
      <c r="D34" s="30">
        <v>18431710.450000003</v>
      </c>
      <c r="E34" s="648">
        <v>0</v>
      </c>
      <c r="F34" s="648">
        <v>0</v>
      </c>
      <c r="G34" s="648">
        <v>0</v>
      </c>
      <c r="H34" s="648">
        <v>0</v>
      </c>
      <c r="I34" s="648">
        <v>0</v>
      </c>
      <c r="J34" s="648">
        <v>0</v>
      </c>
      <c r="K34" s="648">
        <v>0</v>
      </c>
      <c r="L34" s="648">
        <v>0</v>
      </c>
      <c r="M34" s="648">
        <v>0</v>
      </c>
      <c r="N34" s="30">
        <v>59259502.139999993</v>
      </c>
      <c r="O34" s="30">
        <v>6322</v>
      </c>
      <c r="P34" s="30">
        <v>18431710.450000003</v>
      </c>
      <c r="Q34" s="650">
        <v>0</v>
      </c>
      <c r="R34" s="650">
        <v>0</v>
      </c>
      <c r="S34" s="650">
        <v>0</v>
      </c>
    </row>
    <row r="35" spans="1:19" ht="15" customHeight="1" x14ac:dyDescent="0.3">
      <c r="A35" s="6"/>
      <c r="B35" s="30"/>
      <c r="C35" s="30"/>
      <c r="D35" s="30"/>
      <c r="E35" s="648"/>
      <c r="F35" s="648"/>
      <c r="G35" s="648"/>
      <c r="H35" s="30"/>
      <c r="I35" s="30"/>
      <c r="J35" s="30"/>
      <c r="K35" s="30"/>
      <c r="L35" s="30"/>
      <c r="M35" s="30"/>
      <c r="N35" s="30"/>
      <c r="O35" s="30"/>
      <c r="P35" s="30"/>
      <c r="Q35" s="650"/>
      <c r="R35" s="650"/>
      <c r="S35" s="650"/>
    </row>
    <row r="36" spans="1:19" ht="15" customHeight="1" x14ac:dyDescent="0.3">
      <c r="A36" s="11" t="s">
        <v>61</v>
      </c>
      <c r="B36" s="28">
        <v>12475735.469999999</v>
      </c>
      <c r="C36" s="28">
        <v>43</v>
      </c>
      <c r="D36" s="28">
        <v>2422110.46</v>
      </c>
      <c r="E36" s="648">
        <v>0</v>
      </c>
      <c r="F36" s="648">
        <v>0</v>
      </c>
      <c r="G36" s="648">
        <v>0</v>
      </c>
      <c r="H36" s="651">
        <v>0</v>
      </c>
      <c r="I36" s="651">
        <v>0</v>
      </c>
      <c r="J36" s="651">
        <v>0</v>
      </c>
      <c r="K36" s="651">
        <v>0</v>
      </c>
      <c r="L36" s="651">
        <v>0</v>
      </c>
      <c r="M36" s="651">
        <v>0</v>
      </c>
      <c r="N36" s="28">
        <v>12475735.469999999</v>
      </c>
      <c r="O36" s="28">
        <v>43</v>
      </c>
      <c r="P36" s="28">
        <v>2422110.46</v>
      </c>
      <c r="Q36" s="650">
        <v>0</v>
      </c>
      <c r="R36" s="650">
        <v>0</v>
      </c>
      <c r="S36" s="650">
        <v>0</v>
      </c>
    </row>
    <row r="37" spans="1:19" ht="13.5" thickBot="1" x14ac:dyDescent="0.35">
      <c r="A37" s="13"/>
      <c r="B37" s="35"/>
      <c r="C37" s="35"/>
      <c r="D37" s="35"/>
      <c r="E37" s="35"/>
      <c r="F37" s="35"/>
      <c r="G37" s="35"/>
      <c r="H37" s="35"/>
      <c r="I37" s="35"/>
      <c r="J37" s="35"/>
      <c r="K37" s="35"/>
      <c r="L37" s="35"/>
      <c r="M37" s="35"/>
      <c r="N37" s="35"/>
      <c r="O37" s="35"/>
      <c r="P37" s="35"/>
      <c r="Q37" s="35"/>
      <c r="R37" s="35"/>
      <c r="S37" s="35"/>
    </row>
    <row r="38" spans="1:19" ht="14.5" x14ac:dyDescent="0.35">
      <c r="A38" s="36" t="s">
        <v>62</v>
      </c>
      <c r="B38" s="37"/>
      <c r="C38" s="37"/>
      <c r="D38" s="37"/>
      <c r="E38" s="37"/>
      <c r="F38" s="37"/>
      <c r="G38" s="37"/>
      <c r="H38" s="37"/>
      <c r="I38" s="37"/>
      <c r="J38" s="37"/>
      <c r="K38" s="37"/>
      <c r="L38" s="37"/>
      <c r="M38" s="37"/>
      <c r="N38" s="37"/>
      <c r="O38" s="37"/>
      <c r="P38" s="37"/>
      <c r="Q38" s="37"/>
      <c r="R38" s="37"/>
    </row>
    <row r="39" spans="1:19" ht="14.5" x14ac:dyDescent="0.35">
      <c r="A39" s="36" t="s">
        <v>63</v>
      </c>
      <c r="B39" s="37"/>
      <c r="C39" s="37"/>
      <c r="D39" s="37"/>
      <c r="E39" s="37"/>
      <c r="F39" s="37"/>
      <c r="G39" s="37"/>
      <c r="H39" s="37"/>
      <c r="I39" s="37"/>
      <c r="J39" s="37"/>
      <c r="K39" s="37"/>
      <c r="L39" s="37"/>
      <c r="M39" s="37"/>
      <c r="N39" s="37"/>
      <c r="O39" s="37"/>
      <c r="P39" s="37"/>
      <c r="Q39" s="37"/>
      <c r="R39" s="37"/>
    </row>
    <row r="40" spans="1:19" ht="14.5" x14ac:dyDescent="0.35">
      <c r="A40" s="38" t="s">
        <v>30</v>
      </c>
      <c r="B40" s="37"/>
      <c r="C40" s="37"/>
      <c r="D40" s="37"/>
      <c r="E40" s="37"/>
      <c r="F40" s="37"/>
      <c r="G40" s="37"/>
      <c r="H40" s="37"/>
      <c r="I40" s="37"/>
      <c r="J40" s="37"/>
      <c r="K40" s="37"/>
      <c r="L40" s="37"/>
      <c r="M40" s="37"/>
      <c r="N40" s="37"/>
      <c r="O40" s="37"/>
      <c r="P40" s="37"/>
      <c r="Q40" s="37"/>
      <c r="R40" s="37"/>
    </row>
    <row r="41" spans="1:19" x14ac:dyDescent="0.3">
      <c r="B41" s="37"/>
      <c r="C41" s="37"/>
      <c r="D41" s="37"/>
      <c r="E41" s="37"/>
      <c r="F41" s="37"/>
      <c r="G41" s="37"/>
      <c r="H41" s="37"/>
      <c r="I41" s="37"/>
      <c r="J41" s="37"/>
      <c r="K41" s="37"/>
      <c r="L41" s="37"/>
      <c r="M41" s="37"/>
      <c r="N41" s="37"/>
      <c r="O41" s="37"/>
      <c r="P41" s="37"/>
      <c r="Q41" s="37"/>
      <c r="R41" s="37"/>
    </row>
    <row r="42" spans="1:19" x14ac:dyDescent="0.3">
      <c r="B42" s="37"/>
      <c r="C42" s="37"/>
      <c r="D42" s="37"/>
      <c r="E42" s="37"/>
      <c r="F42" s="37"/>
      <c r="G42" s="37"/>
      <c r="H42" s="37"/>
      <c r="I42" s="37"/>
      <c r="J42" s="37"/>
      <c r="K42" s="37"/>
      <c r="L42" s="37"/>
      <c r="M42" s="37"/>
      <c r="N42" s="37"/>
      <c r="O42" s="37"/>
      <c r="P42" s="37"/>
      <c r="Q42" s="37"/>
      <c r="R42" s="37"/>
    </row>
    <row r="43" spans="1:19" x14ac:dyDescent="0.3">
      <c r="B43" s="37"/>
      <c r="C43" s="37"/>
      <c r="D43" s="37"/>
      <c r="E43" s="37"/>
      <c r="F43" s="37"/>
      <c r="G43" s="37"/>
      <c r="H43" s="37"/>
      <c r="I43" s="37"/>
      <c r="J43" s="37"/>
      <c r="K43" s="37"/>
      <c r="L43" s="37"/>
      <c r="M43" s="37"/>
      <c r="N43" s="37"/>
      <c r="O43" s="37"/>
      <c r="P43" s="37"/>
      <c r="Q43" s="37"/>
      <c r="R43" s="37"/>
    </row>
    <row r="44" spans="1:19" x14ac:dyDescent="0.3">
      <c r="B44" s="37"/>
      <c r="C44" s="37"/>
      <c r="D44" s="37"/>
      <c r="E44" s="37"/>
      <c r="F44" s="37"/>
      <c r="G44" s="37"/>
      <c r="H44" s="37"/>
      <c r="I44" s="37"/>
      <c r="J44" s="37"/>
      <c r="K44" s="37"/>
      <c r="L44" s="37"/>
      <c r="M44" s="37"/>
      <c r="N44" s="37"/>
      <c r="O44" s="37"/>
      <c r="P44" s="37"/>
      <c r="Q44" s="37"/>
      <c r="R44" s="37"/>
    </row>
    <row r="45" spans="1:19" x14ac:dyDescent="0.3">
      <c r="B45" s="37"/>
      <c r="C45" s="37"/>
      <c r="D45" s="37"/>
      <c r="E45" s="37"/>
      <c r="F45" s="37"/>
      <c r="G45" s="37"/>
      <c r="H45" s="37"/>
      <c r="I45" s="37"/>
      <c r="J45" s="37"/>
      <c r="K45" s="37"/>
      <c r="L45" s="37"/>
      <c r="M45" s="37"/>
      <c r="N45" s="37"/>
      <c r="O45" s="37"/>
      <c r="P45" s="37"/>
      <c r="Q45" s="37"/>
      <c r="R45" s="37"/>
    </row>
    <row r="46" spans="1:19" x14ac:dyDescent="0.3">
      <c r="B46" s="37"/>
      <c r="C46" s="37"/>
      <c r="D46" s="37"/>
      <c r="E46" s="37"/>
      <c r="F46" s="37"/>
      <c r="G46" s="37"/>
      <c r="H46" s="37"/>
      <c r="I46" s="37"/>
      <c r="J46" s="37"/>
      <c r="K46" s="37"/>
      <c r="L46" s="37"/>
      <c r="M46" s="37"/>
      <c r="N46" s="37"/>
      <c r="O46" s="37"/>
      <c r="P46" s="37"/>
      <c r="Q46" s="37"/>
      <c r="R46" s="37"/>
    </row>
    <row r="47" spans="1:19" x14ac:dyDescent="0.3">
      <c r="B47" s="37"/>
      <c r="C47" s="37"/>
      <c r="D47" s="37"/>
      <c r="E47" s="37"/>
      <c r="F47" s="37"/>
      <c r="G47" s="37"/>
      <c r="H47" s="37"/>
      <c r="I47" s="37"/>
      <c r="J47" s="37"/>
      <c r="K47" s="37"/>
      <c r="L47" s="37"/>
      <c r="M47" s="37"/>
      <c r="N47" s="37"/>
      <c r="O47" s="37"/>
      <c r="P47" s="37"/>
      <c r="Q47" s="37"/>
      <c r="R47" s="37"/>
    </row>
    <row r="48" spans="1:19" x14ac:dyDescent="0.3">
      <c r="B48" s="37"/>
      <c r="C48" s="37"/>
      <c r="D48" s="37"/>
      <c r="E48" s="37"/>
      <c r="F48" s="37"/>
      <c r="G48" s="37"/>
      <c r="H48" s="37"/>
      <c r="I48" s="37"/>
      <c r="J48" s="37"/>
      <c r="K48" s="37"/>
      <c r="L48" s="37"/>
      <c r="M48" s="37"/>
      <c r="N48" s="37"/>
      <c r="O48" s="37"/>
      <c r="P48" s="37"/>
      <c r="Q48" s="37"/>
      <c r="R48" s="37"/>
    </row>
    <row r="49" spans="2:18" x14ac:dyDescent="0.3">
      <c r="B49" s="37"/>
      <c r="C49" s="37"/>
      <c r="D49" s="37"/>
      <c r="E49" s="37"/>
      <c r="F49" s="37"/>
      <c r="G49" s="37"/>
      <c r="H49" s="37"/>
      <c r="I49" s="37"/>
      <c r="J49" s="37"/>
      <c r="K49" s="37"/>
      <c r="L49" s="37"/>
      <c r="M49" s="37"/>
      <c r="N49" s="37"/>
      <c r="O49" s="37"/>
      <c r="P49" s="37"/>
      <c r="Q49" s="37"/>
      <c r="R49" s="37"/>
    </row>
    <row r="50" spans="2:18" x14ac:dyDescent="0.3">
      <c r="B50" s="37"/>
      <c r="C50" s="37"/>
      <c r="D50" s="37"/>
      <c r="E50" s="37"/>
      <c r="F50" s="37"/>
      <c r="G50" s="37"/>
      <c r="H50" s="37"/>
      <c r="I50" s="37"/>
      <c r="J50" s="37"/>
      <c r="K50" s="37"/>
      <c r="L50" s="37"/>
      <c r="M50" s="37"/>
      <c r="N50" s="37"/>
      <c r="O50" s="37"/>
      <c r="P50" s="37"/>
      <c r="Q50" s="37"/>
      <c r="R50" s="37"/>
    </row>
    <row r="51" spans="2:18" x14ac:dyDescent="0.3">
      <c r="B51" s="37"/>
      <c r="C51" s="37"/>
      <c r="D51" s="37"/>
      <c r="E51" s="37"/>
      <c r="F51" s="37"/>
      <c r="G51" s="37"/>
      <c r="H51" s="37"/>
      <c r="I51" s="37"/>
      <c r="J51" s="37"/>
      <c r="K51" s="37"/>
      <c r="L51" s="37"/>
      <c r="M51" s="37"/>
      <c r="N51" s="37"/>
      <c r="O51" s="37"/>
      <c r="P51" s="37"/>
      <c r="Q51" s="37"/>
      <c r="R51" s="37"/>
    </row>
    <row r="52" spans="2:18" x14ac:dyDescent="0.3">
      <c r="B52" s="37"/>
      <c r="C52" s="37"/>
      <c r="D52" s="37"/>
      <c r="E52" s="37"/>
      <c r="F52" s="37"/>
      <c r="G52" s="37"/>
      <c r="H52" s="37"/>
      <c r="I52" s="37"/>
      <c r="J52" s="37"/>
      <c r="K52" s="37"/>
      <c r="L52" s="37"/>
      <c r="M52" s="37"/>
      <c r="N52" s="37"/>
      <c r="O52" s="37"/>
      <c r="P52" s="37"/>
      <c r="Q52" s="37"/>
      <c r="R52" s="37"/>
    </row>
    <row r="53" spans="2:18" x14ac:dyDescent="0.3">
      <c r="B53" s="37"/>
      <c r="C53" s="37"/>
      <c r="D53" s="37"/>
      <c r="E53" s="37"/>
      <c r="F53" s="37"/>
      <c r="G53" s="37"/>
      <c r="H53" s="37"/>
      <c r="I53" s="37"/>
      <c r="J53" s="37"/>
      <c r="K53" s="37"/>
      <c r="L53" s="37"/>
      <c r="M53" s="37"/>
      <c r="N53" s="37"/>
      <c r="O53" s="37"/>
      <c r="P53" s="37"/>
      <c r="Q53" s="37"/>
      <c r="R53" s="37"/>
    </row>
    <row r="54" spans="2:18" x14ac:dyDescent="0.3">
      <c r="B54" s="37"/>
      <c r="C54" s="37"/>
      <c r="D54" s="37"/>
      <c r="E54" s="37"/>
      <c r="F54" s="37"/>
      <c r="G54" s="37"/>
      <c r="H54" s="37"/>
      <c r="I54" s="37"/>
      <c r="J54" s="37"/>
      <c r="K54" s="37"/>
      <c r="L54" s="37"/>
      <c r="M54" s="37"/>
      <c r="N54" s="37"/>
      <c r="O54" s="37"/>
      <c r="P54" s="37"/>
      <c r="Q54" s="37"/>
      <c r="R54" s="37"/>
    </row>
    <row r="55" spans="2:18" x14ac:dyDescent="0.3">
      <c r="B55" s="37"/>
      <c r="C55" s="37"/>
      <c r="D55" s="37"/>
      <c r="E55" s="37"/>
      <c r="F55" s="37"/>
      <c r="G55" s="37"/>
      <c r="H55" s="37"/>
      <c r="I55" s="37"/>
      <c r="J55" s="37"/>
      <c r="K55" s="37"/>
      <c r="L55" s="37"/>
      <c r="M55" s="37"/>
      <c r="N55" s="37"/>
      <c r="O55" s="37"/>
      <c r="P55" s="37"/>
      <c r="Q55" s="37"/>
      <c r="R55" s="37"/>
    </row>
    <row r="56" spans="2:18" x14ac:dyDescent="0.3">
      <c r="B56" s="37"/>
      <c r="C56" s="37"/>
      <c r="D56" s="37"/>
      <c r="E56" s="37"/>
      <c r="F56" s="37"/>
      <c r="G56" s="37"/>
      <c r="H56" s="37"/>
      <c r="I56" s="37"/>
      <c r="J56" s="37"/>
      <c r="K56" s="37"/>
      <c r="L56" s="37"/>
      <c r="M56" s="37"/>
      <c r="N56" s="37"/>
      <c r="O56" s="37"/>
      <c r="P56" s="37"/>
      <c r="Q56" s="37"/>
      <c r="R56" s="37"/>
    </row>
    <row r="57" spans="2:18" x14ac:dyDescent="0.3">
      <c r="B57" s="37"/>
      <c r="C57" s="37"/>
      <c r="D57" s="37"/>
      <c r="E57" s="37"/>
      <c r="F57" s="37"/>
      <c r="G57" s="37"/>
      <c r="H57" s="37"/>
      <c r="I57" s="37"/>
      <c r="J57" s="37"/>
      <c r="K57" s="37"/>
      <c r="L57" s="37"/>
      <c r="M57" s="37"/>
      <c r="N57" s="37"/>
      <c r="O57" s="37"/>
      <c r="P57" s="37"/>
      <c r="Q57" s="37"/>
      <c r="R57" s="37"/>
    </row>
    <row r="58" spans="2:18" x14ac:dyDescent="0.3">
      <c r="B58" s="37"/>
      <c r="C58" s="37"/>
      <c r="D58" s="37"/>
      <c r="E58" s="37"/>
      <c r="F58" s="37"/>
      <c r="G58" s="37"/>
      <c r="H58" s="37"/>
      <c r="I58" s="37"/>
      <c r="J58" s="37"/>
      <c r="K58" s="37"/>
      <c r="L58" s="37"/>
      <c r="M58" s="37"/>
      <c r="N58" s="37"/>
      <c r="O58" s="37"/>
      <c r="P58" s="37"/>
      <c r="Q58" s="37"/>
      <c r="R58" s="37"/>
    </row>
    <row r="59" spans="2:18" x14ac:dyDescent="0.3">
      <c r="B59" s="37"/>
      <c r="C59" s="37"/>
      <c r="D59" s="37"/>
      <c r="E59" s="37"/>
      <c r="F59" s="37"/>
      <c r="G59" s="37"/>
      <c r="H59" s="37"/>
      <c r="I59" s="37"/>
      <c r="J59" s="37"/>
      <c r="K59" s="37"/>
      <c r="L59" s="37"/>
      <c r="M59" s="37"/>
      <c r="N59" s="37"/>
      <c r="O59" s="37"/>
      <c r="P59" s="37"/>
      <c r="Q59" s="37"/>
      <c r="R59" s="37"/>
    </row>
    <row r="60" spans="2:18" x14ac:dyDescent="0.3">
      <c r="D60" s="652"/>
    </row>
    <row r="63" spans="2:18" x14ac:dyDescent="0.3">
      <c r="D63" s="37"/>
    </row>
  </sheetData>
  <mergeCells count="20">
    <mergeCell ref="B9:G9"/>
    <mergeCell ref="H9:M9"/>
    <mergeCell ref="N9:S9"/>
    <mergeCell ref="R1:S1"/>
    <mergeCell ref="A3:S3"/>
    <mergeCell ref="A4:S4"/>
    <mergeCell ref="A5:S5"/>
    <mergeCell ref="A6:S6"/>
    <mergeCell ref="R10:S10"/>
    <mergeCell ref="B10:B11"/>
    <mergeCell ref="C10:D10"/>
    <mergeCell ref="E10:E11"/>
    <mergeCell ref="F10:G10"/>
    <mergeCell ref="H10:H11"/>
    <mergeCell ref="I10:J10"/>
    <mergeCell ref="K10:K11"/>
    <mergeCell ref="L10:M10"/>
    <mergeCell ref="N10:N11"/>
    <mergeCell ref="O10:P10"/>
    <mergeCell ref="Q10:Q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63"/>
  <sheetViews>
    <sheetView topLeftCell="F4" workbookViewId="0">
      <selection sqref="A1:XFD1048576"/>
    </sheetView>
  </sheetViews>
  <sheetFormatPr baseColWidth="10" defaultColWidth="16" defaultRowHeight="13" x14ac:dyDescent="0.3"/>
  <cols>
    <col min="1" max="1" width="45.26953125" style="1" customWidth="1"/>
    <col min="2" max="2" width="17" style="1" bestFit="1" customWidth="1"/>
    <col min="3" max="13" width="16.1796875" style="1" bestFit="1" customWidth="1"/>
    <col min="14" max="14" width="17" style="1" bestFit="1" customWidth="1"/>
    <col min="15" max="15" width="16.1796875" style="1" bestFit="1" customWidth="1"/>
    <col min="16" max="256" width="16" style="1"/>
    <col min="257" max="257" width="45.26953125" style="1" customWidth="1"/>
    <col min="258" max="258" width="17" style="1" bestFit="1" customWidth="1"/>
    <col min="259" max="269" width="16.1796875" style="1" bestFit="1" customWidth="1"/>
    <col min="270" max="270" width="17" style="1" bestFit="1" customWidth="1"/>
    <col min="271" max="271" width="16.1796875" style="1" bestFit="1" customWidth="1"/>
    <col min="272" max="512" width="16" style="1"/>
    <col min="513" max="513" width="45.26953125" style="1" customWidth="1"/>
    <col min="514" max="514" width="17" style="1" bestFit="1" customWidth="1"/>
    <col min="515" max="525" width="16.1796875" style="1" bestFit="1" customWidth="1"/>
    <col min="526" max="526" width="17" style="1" bestFit="1" customWidth="1"/>
    <col min="527" max="527" width="16.1796875" style="1" bestFit="1" customWidth="1"/>
    <col min="528" max="768" width="16" style="1"/>
    <col min="769" max="769" width="45.26953125" style="1" customWidth="1"/>
    <col min="770" max="770" width="17" style="1" bestFit="1" customWidth="1"/>
    <col min="771" max="781" width="16.1796875" style="1" bestFit="1" customWidth="1"/>
    <col min="782" max="782" width="17" style="1" bestFit="1" customWidth="1"/>
    <col min="783" max="783" width="16.1796875" style="1" bestFit="1" customWidth="1"/>
    <col min="784" max="1024" width="16" style="1"/>
    <col min="1025" max="1025" width="45.26953125" style="1" customWidth="1"/>
    <col min="1026" max="1026" width="17" style="1" bestFit="1" customWidth="1"/>
    <col min="1027" max="1037" width="16.1796875" style="1" bestFit="1" customWidth="1"/>
    <col min="1038" max="1038" width="17" style="1" bestFit="1" customWidth="1"/>
    <col min="1039" max="1039" width="16.1796875" style="1" bestFit="1" customWidth="1"/>
    <col min="1040" max="1280" width="16" style="1"/>
    <col min="1281" max="1281" width="45.26953125" style="1" customWidth="1"/>
    <col min="1282" max="1282" width="17" style="1" bestFit="1" customWidth="1"/>
    <col min="1283" max="1293" width="16.1796875" style="1" bestFit="1" customWidth="1"/>
    <col min="1294" max="1294" width="17" style="1" bestFit="1" customWidth="1"/>
    <col min="1295" max="1295" width="16.1796875" style="1" bestFit="1" customWidth="1"/>
    <col min="1296" max="1536" width="16" style="1"/>
    <col min="1537" max="1537" width="45.26953125" style="1" customWidth="1"/>
    <col min="1538" max="1538" width="17" style="1" bestFit="1" customWidth="1"/>
    <col min="1539" max="1549" width="16.1796875" style="1" bestFit="1" customWidth="1"/>
    <col min="1550" max="1550" width="17" style="1" bestFit="1" customWidth="1"/>
    <col min="1551" max="1551" width="16.1796875" style="1" bestFit="1" customWidth="1"/>
    <col min="1552" max="1792" width="16" style="1"/>
    <col min="1793" max="1793" width="45.26953125" style="1" customWidth="1"/>
    <col min="1794" max="1794" width="17" style="1" bestFit="1" customWidth="1"/>
    <col min="1795" max="1805" width="16.1796875" style="1" bestFit="1" customWidth="1"/>
    <col min="1806" max="1806" width="17" style="1" bestFit="1" customWidth="1"/>
    <col min="1807" max="1807" width="16.1796875" style="1" bestFit="1" customWidth="1"/>
    <col min="1808" max="2048" width="16" style="1"/>
    <col min="2049" max="2049" width="45.26953125" style="1" customWidth="1"/>
    <col min="2050" max="2050" width="17" style="1" bestFit="1" customWidth="1"/>
    <col min="2051" max="2061" width="16.1796875" style="1" bestFit="1" customWidth="1"/>
    <col min="2062" max="2062" width="17" style="1" bestFit="1" customWidth="1"/>
    <col min="2063" max="2063" width="16.1796875" style="1" bestFit="1" customWidth="1"/>
    <col min="2064" max="2304" width="16" style="1"/>
    <col min="2305" max="2305" width="45.26953125" style="1" customWidth="1"/>
    <col min="2306" max="2306" width="17" style="1" bestFit="1" customWidth="1"/>
    <col min="2307" max="2317" width="16.1796875" style="1" bestFit="1" customWidth="1"/>
    <col min="2318" max="2318" width="17" style="1" bestFit="1" customWidth="1"/>
    <col min="2319" max="2319" width="16.1796875" style="1" bestFit="1" customWidth="1"/>
    <col min="2320" max="2560" width="16" style="1"/>
    <col min="2561" max="2561" width="45.26953125" style="1" customWidth="1"/>
    <col min="2562" max="2562" width="17" style="1" bestFit="1" customWidth="1"/>
    <col min="2563" max="2573" width="16.1796875" style="1" bestFit="1" customWidth="1"/>
    <col min="2574" max="2574" width="17" style="1" bestFit="1" customWidth="1"/>
    <col min="2575" max="2575" width="16.1796875" style="1" bestFit="1" customWidth="1"/>
    <col min="2576" max="2816" width="16" style="1"/>
    <col min="2817" max="2817" width="45.26953125" style="1" customWidth="1"/>
    <col min="2818" max="2818" width="17" style="1" bestFit="1" customWidth="1"/>
    <col min="2819" max="2829" width="16.1796875" style="1" bestFit="1" customWidth="1"/>
    <col min="2830" max="2830" width="17" style="1" bestFit="1" customWidth="1"/>
    <col min="2831" max="2831" width="16.1796875" style="1" bestFit="1" customWidth="1"/>
    <col min="2832" max="3072" width="16" style="1"/>
    <col min="3073" max="3073" width="45.26953125" style="1" customWidth="1"/>
    <col min="3074" max="3074" width="17" style="1" bestFit="1" customWidth="1"/>
    <col min="3075" max="3085" width="16.1796875" style="1" bestFit="1" customWidth="1"/>
    <col min="3086" max="3086" width="17" style="1" bestFit="1" customWidth="1"/>
    <col min="3087" max="3087" width="16.1796875" style="1" bestFit="1" customWidth="1"/>
    <col min="3088" max="3328" width="16" style="1"/>
    <col min="3329" max="3329" width="45.26953125" style="1" customWidth="1"/>
    <col min="3330" max="3330" width="17" style="1" bestFit="1" customWidth="1"/>
    <col min="3331" max="3341" width="16.1796875" style="1" bestFit="1" customWidth="1"/>
    <col min="3342" max="3342" width="17" style="1" bestFit="1" customWidth="1"/>
    <col min="3343" max="3343" width="16.1796875" style="1" bestFit="1" customWidth="1"/>
    <col min="3344" max="3584" width="16" style="1"/>
    <col min="3585" max="3585" width="45.26953125" style="1" customWidth="1"/>
    <col min="3586" max="3586" width="17" style="1" bestFit="1" customWidth="1"/>
    <col min="3587" max="3597" width="16.1796875" style="1" bestFit="1" customWidth="1"/>
    <col min="3598" max="3598" width="17" style="1" bestFit="1" customWidth="1"/>
    <col min="3599" max="3599" width="16.1796875" style="1" bestFit="1" customWidth="1"/>
    <col min="3600" max="3840" width="16" style="1"/>
    <col min="3841" max="3841" width="45.26953125" style="1" customWidth="1"/>
    <col min="3842" max="3842" width="17" style="1" bestFit="1" customWidth="1"/>
    <col min="3843" max="3853" width="16.1796875" style="1" bestFit="1" customWidth="1"/>
    <col min="3854" max="3854" width="17" style="1" bestFit="1" customWidth="1"/>
    <col min="3855" max="3855" width="16.1796875" style="1" bestFit="1" customWidth="1"/>
    <col min="3856" max="4096" width="16" style="1"/>
    <col min="4097" max="4097" width="45.26953125" style="1" customWidth="1"/>
    <col min="4098" max="4098" width="17" style="1" bestFit="1" customWidth="1"/>
    <col min="4099" max="4109" width="16.1796875" style="1" bestFit="1" customWidth="1"/>
    <col min="4110" max="4110" width="17" style="1" bestFit="1" customWidth="1"/>
    <col min="4111" max="4111" width="16.1796875" style="1" bestFit="1" customWidth="1"/>
    <col min="4112" max="4352" width="16" style="1"/>
    <col min="4353" max="4353" width="45.26953125" style="1" customWidth="1"/>
    <col min="4354" max="4354" width="17" style="1" bestFit="1" customWidth="1"/>
    <col min="4355" max="4365" width="16.1796875" style="1" bestFit="1" customWidth="1"/>
    <col min="4366" max="4366" width="17" style="1" bestFit="1" customWidth="1"/>
    <col min="4367" max="4367" width="16.1796875" style="1" bestFit="1" customWidth="1"/>
    <col min="4368" max="4608" width="16" style="1"/>
    <col min="4609" max="4609" width="45.26953125" style="1" customWidth="1"/>
    <col min="4610" max="4610" width="17" style="1" bestFit="1" customWidth="1"/>
    <col min="4611" max="4621" width="16.1796875" style="1" bestFit="1" customWidth="1"/>
    <col min="4622" max="4622" width="17" style="1" bestFit="1" customWidth="1"/>
    <col min="4623" max="4623" width="16.1796875" style="1" bestFit="1" customWidth="1"/>
    <col min="4624" max="4864" width="16" style="1"/>
    <col min="4865" max="4865" width="45.26953125" style="1" customWidth="1"/>
    <col min="4866" max="4866" width="17" style="1" bestFit="1" customWidth="1"/>
    <col min="4867" max="4877" width="16.1796875" style="1" bestFit="1" customWidth="1"/>
    <col min="4878" max="4878" width="17" style="1" bestFit="1" customWidth="1"/>
    <col min="4879" max="4879" width="16.1796875" style="1" bestFit="1" customWidth="1"/>
    <col min="4880" max="5120" width="16" style="1"/>
    <col min="5121" max="5121" width="45.26953125" style="1" customWidth="1"/>
    <col min="5122" max="5122" width="17" style="1" bestFit="1" customWidth="1"/>
    <col min="5123" max="5133" width="16.1796875" style="1" bestFit="1" customWidth="1"/>
    <col min="5134" max="5134" width="17" style="1" bestFit="1" customWidth="1"/>
    <col min="5135" max="5135" width="16.1796875" style="1" bestFit="1" customWidth="1"/>
    <col min="5136" max="5376" width="16" style="1"/>
    <col min="5377" max="5377" width="45.26953125" style="1" customWidth="1"/>
    <col min="5378" max="5378" width="17" style="1" bestFit="1" customWidth="1"/>
    <col min="5379" max="5389" width="16.1796875" style="1" bestFit="1" customWidth="1"/>
    <col min="5390" max="5390" width="17" style="1" bestFit="1" customWidth="1"/>
    <col min="5391" max="5391" width="16.1796875" style="1" bestFit="1" customWidth="1"/>
    <col min="5392" max="5632" width="16" style="1"/>
    <col min="5633" max="5633" width="45.26953125" style="1" customWidth="1"/>
    <col min="5634" max="5634" width="17" style="1" bestFit="1" customWidth="1"/>
    <col min="5635" max="5645" width="16.1796875" style="1" bestFit="1" customWidth="1"/>
    <col min="5646" max="5646" width="17" style="1" bestFit="1" customWidth="1"/>
    <col min="5647" max="5647" width="16.1796875" style="1" bestFit="1" customWidth="1"/>
    <col min="5648" max="5888" width="16" style="1"/>
    <col min="5889" max="5889" width="45.26953125" style="1" customWidth="1"/>
    <col min="5890" max="5890" width="17" style="1" bestFit="1" customWidth="1"/>
    <col min="5891" max="5901" width="16.1796875" style="1" bestFit="1" customWidth="1"/>
    <col min="5902" max="5902" width="17" style="1" bestFit="1" customWidth="1"/>
    <col min="5903" max="5903" width="16.1796875" style="1" bestFit="1" customWidth="1"/>
    <col min="5904" max="6144" width="16" style="1"/>
    <col min="6145" max="6145" width="45.26953125" style="1" customWidth="1"/>
    <col min="6146" max="6146" width="17" style="1" bestFit="1" customWidth="1"/>
    <col min="6147" max="6157" width="16.1796875" style="1" bestFit="1" customWidth="1"/>
    <col min="6158" max="6158" width="17" style="1" bestFit="1" customWidth="1"/>
    <col min="6159" max="6159" width="16.1796875" style="1" bestFit="1" customWidth="1"/>
    <col min="6160" max="6400" width="16" style="1"/>
    <col min="6401" max="6401" width="45.26953125" style="1" customWidth="1"/>
    <col min="6402" max="6402" width="17" style="1" bestFit="1" customWidth="1"/>
    <col min="6403" max="6413" width="16.1796875" style="1" bestFit="1" customWidth="1"/>
    <col min="6414" max="6414" width="17" style="1" bestFit="1" customWidth="1"/>
    <col min="6415" max="6415" width="16.1796875" style="1" bestFit="1" customWidth="1"/>
    <col min="6416" max="6656" width="16" style="1"/>
    <col min="6657" max="6657" width="45.26953125" style="1" customWidth="1"/>
    <col min="6658" max="6658" width="17" style="1" bestFit="1" customWidth="1"/>
    <col min="6659" max="6669" width="16.1796875" style="1" bestFit="1" customWidth="1"/>
    <col min="6670" max="6670" width="17" style="1" bestFit="1" customWidth="1"/>
    <col min="6671" max="6671" width="16.1796875" style="1" bestFit="1" customWidth="1"/>
    <col min="6672" max="6912" width="16" style="1"/>
    <col min="6913" max="6913" width="45.26953125" style="1" customWidth="1"/>
    <col min="6914" max="6914" width="17" style="1" bestFit="1" customWidth="1"/>
    <col min="6915" max="6925" width="16.1796875" style="1" bestFit="1" customWidth="1"/>
    <col min="6926" max="6926" width="17" style="1" bestFit="1" customWidth="1"/>
    <col min="6927" max="6927" width="16.1796875" style="1" bestFit="1" customWidth="1"/>
    <col min="6928" max="7168" width="16" style="1"/>
    <col min="7169" max="7169" width="45.26953125" style="1" customWidth="1"/>
    <col min="7170" max="7170" width="17" style="1" bestFit="1" customWidth="1"/>
    <col min="7171" max="7181" width="16.1796875" style="1" bestFit="1" customWidth="1"/>
    <col min="7182" max="7182" width="17" style="1" bestFit="1" customWidth="1"/>
    <col min="7183" max="7183" width="16.1796875" style="1" bestFit="1" customWidth="1"/>
    <col min="7184" max="7424" width="16" style="1"/>
    <col min="7425" max="7425" width="45.26953125" style="1" customWidth="1"/>
    <col min="7426" max="7426" width="17" style="1" bestFit="1" customWidth="1"/>
    <col min="7427" max="7437" width="16.1796875" style="1" bestFit="1" customWidth="1"/>
    <col min="7438" max="7438" width="17" style="1" bestFit="1" customWidth="1"/>
    <col min="7439" max="7439" width="16.1796875" style="1" bestFit="1" customWidth="1"/>
    <col min="7440" max="7680" width="16" style="1"/>
    <col min="7681" max="7681" width="45.26953125" style="1" customWidth="1"/>
    <col min="7682" max="7682" width="17" style="1" bestFit="1" customWidth="1"/>
    <col min="7683" max="7693" width="16.1796875" style="1" bestFit="1" customWidth="1"/>
    <col min="7694" max="7694" width="17" style="1" bestFit="1" customWidth="1"/>
    <col min="7695" max="7695" width="16.1796875" style="1" bestFit="1" customWidth="1"/>
    <col min="7696" max="7936" width="16" style="1"/>
    <col min="7937" max="7937" width="45.26953125" style="1" customWidth="1"/>
    <col min="7938" max="7938" width="17" style="1" bestFit="1" customWidth="1"/>
    <col min="7939" max="7949" width="16.1796875" style="1" bestFit="1" customWidth="1"/>
    <col min="7950" max="7950" width="17" style="1" bestFit="1" customWidth="1"/>
    <col min="7951" max="7951" width="16.1796875" style="1" bestFit="1" customWidth="1"/>
    <col min="7952" max="8192" width="16" style="1"/>
    <col min="8193" max="8193" width="45.26953125" style="1" customWidth="1"/>
    <col min="8194" max="8194" width="17" style="1" bestFit="1" customWidth="1"/>
    <col min="8195" max="8205" width="16.1796875" style="1" bestFit="1" customWidth="1"/>
    <col min="8206" max="8206" width="17" style="1" bestFit="1" customWidth="1"/>
    <col min="8207" max="8207" width="16.1796875" style="1" bestFit="1" customWidth="1"/>
    <col min="8208" max="8448" width="16" style="1"/>
    <col min="8449" max="8449" width="45.26953125" style="1" customWidth="1"/>
    <col min="8450" max="8450" width="17" style="1" bestFit="1" customWidth="1"/>
    <col min="8451" max="8461" width="16.1796875" style="1" bestFit="1" customWidth="1"/>
    <col min="8462" max="8462" width="17" style="1" bestFit="1" customWidth="1"/>
    <col min="8463" max="8463" width="16.1796875" style="1" bestFit="1" customWidth="1"/>
    <col min="8464" max="8704" width="16" style="1"/>
    <col min="8705" max="8705" width="45.26953125" style="1" customWidth="1"/>
    <col min="8706" max="8706" width="17" style="1" bestFit="1" customWidth="1"/>
    <col min="8707" max="8717" width="16.1796875" style="1" bestFit="1" customWidth="1"/>
    <col min="8718" max="8718" width="17" style="1" bestFit="1" customWidth="1"/>
    <col min="8719" max="8719" width="16.1796875" style="1" bestFit="1" customWidth="1"/>
    <col min="8720" max="8960" width="16" style="1"/>
    <col min="8961" max="8961" width="45.26953125" style="1" customWidth="1"/>
    <col min="8962" max="8962" width="17" style="1" bestFit="1" customWidth="1"/>
    <col min="8963" max="8973" width="16.1796875" style="1" bestFit="1" customWidth="1"/>
    <col min="8974" max="8974" width="17" style="1" bestFit="1" customWidth="1"/>
    <col min="8975" max="8975" width="16.1796875" style="1" bestFit="1" customWidth="1"/>
    <col min="8976" max="9216" width="16" style="1"/>
    <col min="9217" max="9217" width="45.26953125" style="1" customWidth="1"/>
    <col min="9218" max="9218" width="17" style="1" bestFit="1" customWidth="1"/>
    <col min="9219" max="9229" width="16.1796875" style="1" bestFit="1" customWidth="1"/>
    <col min="9230" max="9230" width="17" style="1" bestFit="1" customWidth="1"/>
    <col min="9231" max="9231" width="16.1796875" style="1" bestFit="1" customWidth="1"/>
    <col min="9232" max="9472" width="16" style="1"/>
    <col min="9473" max="9473" width="45.26953125" style="1" customWidth="1"/>
    <col min="9474" max="9474" width="17" style="1" bestFit="1" customWidth="1"/>
    <col min="9475" max="9485" width="16.1796875" style="1" bestFit="1" customWidth="1"/>
    <col min="9486" max="9486" width="17" style="1" bestFit="1" customWidth="1"/>
    <col min="9487" max="9487" width="16.1796875" style="1" bestFit="1" customWidth="1"/>
    <col min="9488" max="9728" width="16" style="1"/>
    <col min="9729" max="9729" width="45.26953125" style="1" customWidth="1"/>
    <col min="9730" max="9730" width="17" style="1" bestFit="1" customWidth="1"/>
    <col min="9731" max="9741" width="16.1796875" style="1" bestFit="1" customWidth="1"/>
    <col min="9742" max="9742" width="17" style="1" bestFit="1" customWidth="1"/>
    <col min="9743" max="9743" width="16.1796875" style="1" bestFit="1" customWidth="1"/>
    <col min="9744" max="9984" width="16" style="1"/>
    <col min="9985" max="9985" width="45.26953125" style="1" customWidth="1"/>
    <col min="9986" max="9986" width="17" style="1" bestFit="1" customWidth="1"/>
    <col min="9987" max="9997" width="16.1796875" style="1" bestFit="1" customWidth="1"/>
    <col min="9998" max="9998" width="17" style="1" bestFit="1" customWidth="1"/>
    <col min="9999" max="9999" width="16.1796875" style="1" bestFit="1" customWidth="1"/>
    <col min="10000" max="10240" width="16" style="1"/>
    <col min="10241" max="10241" width="45.26953125" style="1" customWidth="1"/>
    <col min="10242" max="10242" width="17" style="1" bestFit="1" customWidth="1"/>
    <col min="10243" max="10253" width="16.1796875" style="1" bestFit="1" customWidth="1"/>
    <col min="10254" max="10254" width="17" style="1" bestFit="1" customWidth="1"/>
    <col min="10255" max="10255" width="16.1796875" style="1" bestFit="1" customWidth="1"/>
    <col min="10256" max="10496" width="16" style="1"/>
    <col min="10497" max="10497" width="45.26953125" style="1" customWidth="1"/>
    <col min="10498" max="10498" width="17" style="1" bestFit="1" customWidth="1"/>
    <col min="10499" max="10509" width="16.1796875" style="1" bestFit="1" customWidth="1"/>
    <col min="10510" max="10510" width="17" style="1" bestFit="1" customWidth="1"/>
    <col min="10511" max="10511" width="16.1796875" style="1" bestFit="1" customWidth="1"/>
    <col min="10512" max="10752" width="16" style="1"/>
    <col min="10753" max="10753" width="45.26953125" style="1" customWidth="1"/>
    <col min="10754" max="10754" width="17" style="1" bestFit="1" customWidth="1"/>
    <col min="10755" max="10765" width="16.1796875" style="1" bestFit="1" customWidth="1"/>
    <col min="10766" max="10766" width="17" style="1" bestFit="1" customWidth="1"/>
    <col min="10767" max="10767" width="16.1796875" style="1" bestFit="1" customWidth="1"/>
    <col min="10768" max="11008" width="16" style="1"/>
    <col min="11009" max="11009" width="45.26953125" style="1" customWidth="1"/>
    <col min="11010" max="11010" width="17" style="1" bestFit="1" customWidth="1"/>
    <col min="11011" max="11021" width="16.1796875" style="1" bestFit="1" customWidth="1"/>
    <col min="11022" max="11022" width="17" style="1" bestFit="1" customWidth="1"/>
    <col min="11023" max="11023" width="16.1796875" style="1" bestFit="1" customWidth="1"/>
    <col min="11024" max="11264" width="16" style="1"/>
    <col min="11265" max="11265" width="45.26953125" style="1" customWidth="1"/>
    <col min="11266" max="11266" width="17" style="1" bestFit="1" customWidth="1"/>
    <col min="11267" max="11277" width="16.1796875" style="1" bestFit="1" customWidth="1"/>
    <col min="11278" max="11278" width="17" style="1" bestFit="1" customWidth="1"/>
    <col min="11279" max="11279" width="16.1796875" style="1" bestFit="1" customWidth="1"/>
    <col min="11280" max="11520" width="16" style="1"/>
    <col min="11521" max="11521" width="45.26953125" style="1" customWidth="1"/>
    <col min="11522" max="11522" width="17" style="1" bestFit="1" customWidth="1"/>
    <col min="11523" max="11533" width="16.1796875" style="1" bestFit="1" customWidth="1"/>
    <col min="11534" max="11534" width="17" style="1" bestFit="1" customWidth="1"/>
    <col min="11535" max="11535" width="16.1796875" style="1" bestFit="1" customWidth="1"/>
    <col min="11536" max="11776" width="16" style="1"/>
    <col min="11777" max="11777" width="45.26953125" style="1" customWidth="1"/>
    <col min="11778" max="11778" width="17" style="1" bestFit="1" customWidth="1"/>
    <col min="11779" max="11789" width="16.1796875" style="1" bestFit="1" customWidth="1"/>
    <col min="11790" max="11790" width="17" style="1" bestFit="1" customWidth="1"/>
    <col min="11791" max="11791" width="16.1796875" style="1" bestFit="1" customWidth="1"/>
    <col min="11792" max="12032" width="16" style="1"/>
    <col min="12033" max="12033" width="45.26953125" style="1" customWidth="1"/>
    <col min="12034" max="12034" width="17" style="1" bestFit="1" customWidth="1"/>
    <col min="12035" max="12045" width="16.1796875" style="1" bestFit="1" customWidth="1"/>
    <col min="12046" max="12046" width="17" style="1" bestFit="1" customWidth="1"/>
    <col min="12047" max="12047" width="16.1796875" style="1" bestFit="1" customWidth="1"/>
    <col min="12048" max="12288" width="16" style="1"/>
    <col min="12289" max="12289" width="45.26953125" style="1" customWidth="1"/>
    <col min="12290" max="12290" width="17" style="1" bestFit="1" customWidth="1"/>
    <col min="12291" max="12301" width="16.1796875" style="1" bestFit="1" customWidth="1"/>
    <col min="12302" max="12302" width="17" style="1" bestFit="1" customWidth="1"/>
    <col min="12303" max="12303" width="16.1796875" style="1" bestFit="1" customWidth="1"/>
    <col min="12304" max="12544" width="16" style="1"/>
    <col min="12545" max="12545" width="45.26953125" style="1" customWidth="1"/>
    <col min="12546" max="12546" width="17" style="1" bestFit="1" customWidth="1"/>
    <col min="12547" max="12557" width="16.1796875" style="1" bestFit="1" customWidth="1"/>
    <col min="12558" max="12558" width="17" style="1" bestFit="1" customWidth="1"/>
    <col min="12559" max="12559" width="16.1796875" style="1" bestFit="1" customWidth="1"/>
    <col min="12560" max="12800" width="16" style="1"/>
    <col min="12801" max="12801" width="45.26953125" style="1" customWidth="1"/>
    <col min="12802" max="12802" width="17" style="1" bestFit="1" customWidth="1"/>
    <col min="12803" max="12813" width="16.1796875" style="1" bestFit="1" customWidth="1"/>
    <col min="12814" max="12814" width="17" style="1" bestFit="1" customWidth="1"/>
    <col min="12815" max="12815" width="16.1796875" style="1" bestFit="1" customWidth="1"/>
    <col min="12816" max="13056" width="16" style="1"/>
    <col min="13057" max="13057" width="45.26953125" style="1" customWidth="1"/>
    <col min="13058" max="13058" width="17" style="1" bestFit="1" customWidth="1"/>
    <col min="13059" max="13069" width="16.1796875" style="1" bestFit="1" customWidth="1"/>
    <col min="13070" max="13070" width="17" style="1" bestFit="1" customWidth="1"/>
    <col min="13071" max="13071" width="16.1796875" style="1" bestFit="1" customWidth="1"/>
    <col min="13072" max="13312" width="16" style="1"/>
    <col min="13313" max="13313" width="45.26953125" style="1" customWidth="1"/>
    <col min="13314" max="13314" width="17" style="1" bestFit="1" customWidth="1"/>
    <col min="13315" max="13325" width="16.1796875" style="1" bestFit="1" customWidth="1"/>
    <col min="13326" max="13326" width="17" style="1" bestFit="1" customWidth="1"/>
    <col min="13327" max="13327" width="16.1796875" style="1" bestFit="1" customWidth="1"/>
    <col min="13328" max="13568" width="16" style="1"/>
    <col min="13569" max="13569" width="45.26953125" style="1" customWidth="1"/>
    <col min="13570" max="13570" width="17" style="1" bestFit="1" customWidth="1"/>
    <col min="13571" max="13581" width="16.1796875" style="1" bestFit="1" customWidth="1"/>
    <col min="13582" max="13582" width="17" style="1" bestFit="1" customWidth="1"/>
    <col min="13583" max="13583" width="16.1796875" style="1" bestFit="1" customWidth="1"/>
    <col min="13584" max="13824" width="16" style="1"/>
    <col min="13825" max="13825" width="45.26953125" style="1" customWidth="1"/>
    <col min="13826" max="13826" width="17" style="1" bestFit="1" customWidth="1"/>
    <col min="13827" max="13837" width="16.1796875" style="1" bestFit="1" customWidth="1"/>
    <col min="13838" max="13838" width="17" style="1" bestFit="1" customWidth="1"/>
    <col min="13839" max="13839" width="16.1796875" style="1" bestFit="1" customWidth="1"/>
    <col min="13840" max="14080" width="16" style="1"/>
    <col min="14081" max="14081" width="45.26953125" style="1" customWidth="1"/>
    <col min="14082" max="14082" width="17" style="1" bestFit="1" customWidth="1"/>
    <col min="14083" max="14093" width="16.1796875" style="1" bestFit="1" customWidth="1"/>
    <col min="14094" max="14094" width="17" style="1" bestFit="1" customWidth="1"/>
    <col min="14095" max="14095" width="16.1796875" style="1" bestFit="1" customWidth="1"/>
    <col min="14096" max="14336" width="16" style="1"/>
    <col min="14337" max="14337" width="45.26953125" style="1" customWidth="1"/>
    <col min="14338" max="14338" width="17" style="1" bestFit="1" customWidth="1"/>
    <col min="14339" max="14349" width="16.1796875" style="1" bestFit="1" customWidth="1"/>
    <col min="14350" max="14350" width="17" style="1" bestFit="1" customWidth="1"/>
    <col min="14351" max="14351" width="16.1796875" style="1" bestFit="1" customWidth="1"/>
    <col min="14352" max="14592" width="16" style="1"/>
    <col min="14593" max="14593" width="45.26953125" style="1" customWidth="1"/>
    <col min="14594" max="14594" width="17" style="1" bestFit="1" customWidth="1"/>
    <col min="14595" max="14605" width="16.1796875" style="1" bestFit="1" customWidth="1"/>
    <col min="14606" max="14606" width="17" style="1" bestFit="1" customWidth="1"/>
    <col min="14607" max="14607" width="16.1796875" style="1" bestFit="1" customWidth="1"/>
    <col min="14608" max="14848" width="16" style="1"/>
    <col min="14849" max="14849" width="45.26953125" style="1" customWidth="1"/>
    <col min="14850" max="14850" width="17" style="1" bestFit="1" customWidth="1"/>
    <col min="14851" max="14861" width="16.1796875" style="1" bestFit="1" customWidth="1"/>
    <col min="14862" max="14862" width="17" style="1" bestFit="1" customWidth="1"/>
    <col min="14863" max="14863" width="16.1796875" style="1" bestFit="1" customWidth="1"/>
    <col min="14864" max="15104" width="16" style="1"/>
    <col min="15105" max="15105" width="45.26953125" style="1" customWidth="1"/>
    <col min="15106" max="15106" width="17" style="1" bestFit="1" customWidth="1"/>
    <col min="15107" max="15117" width="16.1796875" style="1" bestFit="1" customWidth="1"/>
    <col min="15118" max="15118" width="17" style="1" bestFit="1" customWidth="1"/>
    <col min="15119" max="15119" width="16.1796875" style="1" bestFit="1" customWidth="1"/>
    <col min="15120" max="15360" width="16" style="1"/>
    <col min="15361" max="15361" width="45.26953125" style="1" customWidth="1"/>
    <col min="15362" max="15362" width="17" style="1" bestFit="1" customWidth="1"/>
    <col min="15363" max="15373" width="16.1796875" style="1" bestFit="1" customWidth="1"/>
    <col min="15374" max="15374" width="17" style="1" bestFit="1" customWidth="1"/>
    <col min="15375" max="15375" width="16.1796875" style="1" bestFit="1" customWidth="1"/>
    <col min="15376" max="15616" width="16" style="1"/>
    <col min="15617" max="15617" width="45.26953125" style="1" customWidth="1"/>
    <col min="15618" max="15618" width="17" style="1" bestFit="1" customWidth="1"/>
    <col min="15619" max="15629" width="16.1796875" style="1" bestFit="1" customWidth="1"/>
    <col min="15630" max="15630" width="17" style="1" bestFit="1" customWidth="1"/>
    <col min="15631" max="15631" width="16.1796875" style="1" bestFit="1" customWidth="1"/>
    <col min="15632" max="15872" width="16" style="1"/>
    <col min="15873" max="15873" width="45.26953125" style="1" customWidth="1"/>
    <col min="15874" max="15874" width="17" style="1" bestFit="1" customWidth="1"/>
    <col min="15875" max="15885" width="16.1796875" style="1" bestFit="1" customWidth="1"/>
    <col min="15886" max="15886" width="17" style="1" bestFit="1" customWidth="1"/>
    <col min="15887" max="15887" width="16.1796875" style="1" bestFit="1" customWidth="1"/>
    <col min="15888" max="16128" width="16" style="1"/>
    <col min="16129" max="16129" width="45.26953125" style="1" customWidth="1"/>
    <col min="16130" max="16130" width="17" style="1" bestFit="1" customWidth="1"/>
    <col min="16131" max="16141" width="16.1796875" style="1" bestFit="1" customWidth="1"/>
    <col min="16142" max="16142" width="17" style="1" bestFit="1" customWidth="1"/>
    <col min="16143" max="16143" width="16.1796875" style="1" bestFit="1" customWidth="1"/>
    <col min="16144" max="16384" width="16" style="1"/>
  </cols>
  <sheetData>
    <row r="1" spans="1:19" ht="18" customHeight="1" thickBot="1" x14ac:dyDescent="0.35">
      <c r="R1" s="799" t="s">
        <v>66</v>
      </c>
      <c r="S1" s="800"/>
    </row>
    <row r="3" spans="1:19" ht="23.5" x14ac:dyDescent="0.55000000000000004">
      <c r="A3" s="783" t="s">
        <v>67</v>
      </c>
      <c r="B3" s="783"/>
      <c r="C3" s="783"/>
      <c r="D3" s="783"/>
      <c r="E3" s="783"/>
      <c r="F3" s="783"/>
      <c r="G3" s="783"/>
      <c r="H3" s="783"/>
      <c r="I3" s="783"/>
      <c r="J3" s="783"/>
      <c r="K3" s="783"/>
      <c r="L3" s="783"/>
      <c r="M3" s="783"/>
      <c r="N3" s="783"/>
      <c r="O3" s="783"/>
      <c r="P3" s="783"/>
      <c r="Q3" s="783"/>
      <c r="R3" s="783"/>
      <c r="S3" s="783"/>
    </row>
    <row r="4" spans="1:19" ht="23.5" x14ac:dyDescent="0.55000000000000004">
      <c r="A4" s="783" t="s">
        <v>3</v>
      </c>
      <c r="B4" s="783"/>
      <c r="C4" s="783"/>
      <c r="D4" s="783"/>
      <c r="E4" s="783"/>
      <c r="F4" s="783"/>
      <c r="G4" s="783"/>
      <c r="H4" s="783"/>
      <c r="I4" s="783"/>
      <c r="J4" s="783"/>
      <c r="K4" s="783"/>
      <c r="L4" s="783"/>
      <c r="M4" s="783"/>
      <c r="N4" s="783"/>
      <c r="O4" s="783"/>
      <c r="P4" s="783"/>
      <c r="Q4" s="783"/>
      <c r="R4" s="783"/>
      <c r="S4" s="783"/>
    </row>
    <row r="5" spans="1:19" ht="18" customHeight="1" x14ac:dyDescent="0.45">
      <c r="A5" s="784" t="s">
        <v>278</v>
      </c>
      <c r="B5" s="784"/>
      <c r="C5" s="784"/>
      <c r="D5" s="784"/>
      <c r="E5" s="784"/>
      <c r="F5" s="784"/>
      <c r="G5" s="784"/>
      <c r="H5" s="784"/>
      <c r="I5" s="784"/>
      <c r="J5" s="784"/>
      <c r="K5" s="784"/>
      <c r="L5" s="784"/>
      <c r="M5" s="784"/>
      <c r="N5" s="784"/>
      <c r="O5" s="784"/>
      <c r="P5" s="784"/>
      <c r="Q5" s="784"/>
      <c r="R5" s="784"/>
      <c r="S5" s="784"/>
    </row>
    <row r="6" spans="1:19" ht="18" customHeight="1" x14ac:dyDescent="0.45">
      <c r="A6" s="784" t="s">
        <v>36</v>
      </c>
      <c r="B6" s="784"/>
      <c r="C6" s="784"/>
      <c r="D6" s="784"/>
      <c r="E6" s="784"/>
      <c r="F6" s="784"/>
      <c r="G6" s="784"/>
      <c r="H6" s="784"/>
      <c r="I6" s="784"/>
      <c r="J6" s="784"/>
      <c r="K6" s="784"/>
      <c r="L6" s="784"/>
      <c r="M6" s="784"/>
      <c r="N6" s="784"/>
      <c r="O6" s="784"/>
      <c r="P6" s="784"/>
      <c r="Q6" s="784"/>
      <c r="R6" s="784"/>
      <c r="S6" s="784"/>
    </row>
    <row r="7" spans="1:19" ht="15.5" x14ac:dyDescent="0.35">
      <c r="A7" s="19"/>
      <c r="B7" s="19"/>
      <c r="C7" s="19"/>
      <c r="D7" s="19"/>
      <c r="E7" s="19"/>
      <c r="F7" s="19"/>
      <c r="G7" s="19"/>
      <c r="H7" s="19"/>
      <c r="I7" s="19"/>
      <c r="J7" s="19"/>
      <c r="K7" s="19"/>
      <c r="L7" s="19"/>
      <c r="M7" s="19"/>
      <c r="N7" s="19"/>
      <c r="O7" s="19"/>
      <c r="P7" s="19"/>
      <c r="Q7" s="19"/>
      <c r="R7" s="20"/>
      <c r="S7" s="20"/>
    </row>
    <row r="8" spans="1:19" ht="16" thickBot="1" x14ac:dyDescent="0.4">
      <c r="A8" s="19"/>
      <c r="B8" s="19"/>
      <c r="C8" s="19"/>
      <c r="D8" s="19"/>
      <c r="E8" s="19"/>
      <c r="F8" s="19"/>
      <c r="G8" s="19"/>
      <c r="H8" s="19"/>
      <c r="I8" s="19"/>
      <c r="J8" s="19"/>
      <c r="K8" s="19"/>
      <c r="L8" s="19"/>
      <c r="M8" s="19"/>
      <c r="N8" s="19"/>
      <c r="O8" s="19"/>
      <c r="P8" s="19"/>
      <c r="Q8" s="19"/>
      <c r="R8" s="20"/>
      <c r="S8" s="20"/>
    </row>
    <row r="9" spans="1:19" ht="15" customHeight="1" thickBot="1" x14ac:dyDescent="0.35">
      <c r="A9" s="21"/>
      <c r="B9" s="791" t="s">
        <v>37</v>
      </c>
      <c r="C9" s="792"/>
      <c r="D9" s="792"/>
      <c r="E9" s="792"/>
      <c r="F9" s="792"/>
      <c r="G9" s="793"/>
      <c r="H9" s="791" t="s">
        <v>38</v>
      </c>
      <c r="I9" s="792"/>
      <c r="J9" s="792"/>
      <c r="K9" s="792"/>
      <c r="L9" s="792"/>
      <c r="M9" s="793"/>
      <c r="N9" s="794" t="s">
        <v>39</v>
      </c>
      <c r="O9" s="795"/>
      <c r="P9" s="795"/>
      <c r="Q9" s="795"/>
      <c r="R9" s="795"/>
      <c r="S9" s="796"/>
    </row>
    <row r="10" spans="1:19" ht="15" customHeight="1" thickBot="1" x14ac:dyDescent="0.35">
      <c r="A10" s="22" t="s">
        <v>40</v>
      </c>
      <c r="B10" s="785" t="s">
        <v>41</v>
      </c>
      <c r="C10" s="791" t="s">
        <v>42</v>
      </c>
      <c r="D10" s="793"/>
      <c r="E10" s="785" t="s">
        <v>43</v>
      </c>
      <c r="F10" s="797" t="s">
        <v>44</v>
      </c>
      <c r="G10" s="798"/>
      <c r="H10" s="785" t="s">
        <v>41</v>
      </c>
      <c r="I10" s="791" t="s">
        <v>42</v>
      </c>
      <c r="J10" s="793"/>
      <c r="K10" s="785" t="s">
        <v>43</v>
      </c>
      <c r="L10" s="791" t="s">
        <v>44</v>
      </c>
      <c r="M10" s="793"/>
      <c r="N10" s="785" t="s">
        <v>41</v>
      </c>
      <c r="O10" s="791" t="s">
        <v>42</v>
      </c>
      <c r="P10" s="793"/>
      <c r="Q10" s="785" t="s">
        <v>43</v>
      </c>
      <c r="R10" s="797" t="s">
        <v>44</v>
      </c>
      <c r="S10" s="798"/>
    </row>
    <row r="11" spans="1:19" ht="39" customHeight="1" thickBot="1" x14ac:dyDescent="0.35">
      <c r="A11" s="23"/>
      <c r="B11" s="787"/>
      <c r="C11" s="24" t="s">
        <v>45</v>
      </c>
      <c r="D11" s="24" t="s">
        <v>11</v>
      </c>
      <c r="E11" s="787"/>
      <c r="F11" s="25" t="s">
        <v>69</v>
      </c>
      <c r="G11" s="25" t="s">
        <v>47</v>
      </c>
      <c r="H11" s="787"/>
      <c r="I11" s="24" t="s">
        <v>45</v>
      </c>
      <c r="J11" s="24" t="s">
        <v>11</v>
      </c>
      <c r="K11" s="787"/>
      <c r="L11" s="25" t="s">
        <v>46</v>
      </c>
      <c r="M11" s="25" t="s">
        <v>47</v>
      </c>
      <c r="N11" s="787"/>
      <c r="O11" s="24" t="s">
        <v>45</v>
      </c>
      <c r="P11" s="24" t="s">
        <v>11</v>
      </c>
      <c r="Q11" s="787"/>
      <c r="R11" s="25" t="s">
        <v>46</v>
      </c>
      <c r="S11" s="25" t="s">
        <v>47</v>
      </c>
    </row>
    <row r="12" spans="1:19" ht="15" customHeight="1" x14ac:dyDescent="0.3">
      <c r="A12" s="6"/>
      <c r="B12" s="6"/>
      <c r="C12" s="6"/>
      <c r="D12" s="6"/>
      <c r="E12" s="6"/>
      <c r="F12" s="6"/>
      <c r="G12" s="6"/>
      <c r="H12" s="6"/>
      <c r="I12" s="6"/>
      <c r="J12" s="6"/>
      <c r="K12" s="6"/>
      <c r="L12" s="6"/>
      <c r="M12" s="6"/>
      <c r="N12" s="6"/>
      <c r="O12" s="6"/>
      <c r="P12" s="6"/>
      <c r="Q12" s="6"/>
      <c r="R12" s="6"/>
      <c r="S12" s="6"/>
    </row>
    <row r="13" spans="1:19" ht="15" customHeight="1" x14ac:dyDescent="0.3">
      <c r="A13" s="27" t="s">
        <v>39</v>
      </c>
      <c r="B13" s="28">
        <v>495945378.75000012</v>
      </c>
      <c r="C13" s="28">
        <v>695375</v>
      </c>
      <c r="D13" s="28">
        <v>249013455.11000001</v>
      </c>
      <c r="E13" s="28">
        <v>2040622.27</v>
      </c>
      <c r="F13" s="28">
        <v>2874550.5</v>
      </c>
      <c r="G13" s="28">
        <v>7455.16</v>
      </c>
      <c r="H13" s="28">
        <v>33889965.780000001</v>
      </c>
      <c r="I13" s="28">
        <v>108858</v>
      </c>
      <c r="J13" s="28">
        <v>13777424.600000001</v>
      </c>
      <c r="K13" s="28">
        <v>0</v>
      </c>
      <c r="L13" s="28">
        <v>1686505.61</v>
      </c>
      <c r="M13" s="648">
        <v>0</v>
      </c>
      <c r="N13" s="28">
        <v>529835344.53000009</v>
      </c>
      <c r="O13" s="28">
        <v>804233</v>
      </c>
      <c r="P13" s="28">
        <v>262790879.71000001</v>
      </c>
      <c r="Q13" s="28">
        <v>2040622.27</v>
      </c>
      <c r="R13" s="28">
        <v>4561056.1100000003</v>
      </c>
      <c r="S13" s="28">
        <v>7455.16</v>
      </c>
    </row>
    <row r="14" spans="1:19" ht="15" customHeight="1" x14ac:dyDescent="0.3">
      <c r="A14" s="6"/>
      <c r="B14" s="30"/>
      <c r="C14" s="30"/>
      <c r="D14" s="30"/>
      <c r="E14" s="30"/>
      <c r="F14" s="30"/>
      <c r="G14" s="30"/>
      <c r="H14" s="30"/>
      <c r="I14" s="30"/>
      <c r="J14" s="30"/>
      <c r="K14" s="30"/>
      <c r="L14" s="30"/>
      <c r="M14" s="648"/>
      <c r="N14" s="30"/>
      <c r="O14" s="30"/>
      <c r="P14" s="30"/>
      <c r="Q14" s="30"/>
      <c r="R14" s="30"/>
      <c r="S14" s="30"/>
    </row>
    <row r="15" spans="1:19" ht="15" customHeight="1" x14ac:dyDescent="0.3">
      <c r="A15" s="11" t="s">
        <v>48</v>
      </c>
      <c r="B15" s="28">
        <v>149557810.08000004</v>
      </c>
      <c r="C15" s="28">
        <v>30595</v>
      </c>
      <c r="D15" s="28">
        <v>56925458.329999998</v>
      </c>
      <c r="E15" s="28">
        <v>2040622.27</v>
      </c>
      <c r="F15" s="28">
        <v>2874550.5</v>
      </c>
      <c r="G15" s="28">
        <v>7455.16</v>
      </c>
      <c r="H15" s="28">
        <v>15730047.27</v>
      </c>
      <c r="I15" s="28">
        <v>272</v>
      </c>
      <c r="J15" s="28">
        <v>2120613.6100000003</v>
      </c>
      <c r="K15" s="28">
        <v>0</v>
      </c>
      <c r="L15" s="28">
        <v>1686505.61</v>
      </c>
      <c r="M15" s="648">
        <v>0</v>
      </c>
      <c r="N15" s="28">
        <v>165287857.35000005</v>
      </c>
      <c r="O15" s="28">
        <v>30867</v>
      </c>
      <c r="P15" s="28">
        <v>59046071.939999998</v>
      </c>
      <c r="Q15" s="28">
        <v>2040622.27</v>
      </c>
      <c r="R15" s="28">
        <v>4561056.1100000003</v>
      </c>
      <c r="S15" s="28">
        <v>7455.16</v>
      </c>
    </row>
    <row r="16" spans="1:19" ht="15" customHeight="1" x14ac:dyDescent="0.3">
      <c r="A16" s="6"/>
      <c r="B16" s="30"/>
      <c r="C16" s="30"/>
      <c r="D16" s="30"/>
      <c r="E16" s="30"/>
      <c r="F16" s="30"/>
      <c r="G16" s="30"/>
      <c r="H16" s="30"/>
      <c r="I16" s="30"/>
      <c r="J16" s="30"/>
      <c r="K16" s="30"/>
      <c r="L16" s="30"/>
      <c r="M16" s="648"/>
      <c r="N16" s="30"/>
      <c r="O16" s="30"/>
      <c r="P16" s="30"/>
      <c r="Q16" s="30"/>
      <c r="R16" s="30"/>
      <c r="S16" s="30"/>
    </row>
    <row r="17" spans="1:19" ht="15" customHeight="1" x14ac:dyDescent="0.3">
      <c r="A17" s="6" t="s">
        <v>49</v>
      </c>
      <c r="B17" s="649">
        <v>18410466.459999997</v>
      </c>
      <c r="C17" s="649">
        <v>248</v>
      </c>
      <c r="D17" s="649">
        <v>2722547.3400000003</v>
      </c>
      <c r="E17" s="649">
        <v>2040622.27</v>
      </c>
      <c r="F17" s="649">
        <v>2869129.93</v>
      </c>
      <c r="G17" s="649">
        <v>7455.16</v>
      </c>
      <c r="H17" s="30">
        <v>10731746.57</v>
      </c>
      <c r="I17" s="30">
        <v>15</v>
      </c>
      <c r="J17" s="30">
        <v>1062933.6100000001</v>
      </c>
      <c r="K17" s="30">
        <v>0</v>
      </c>
      <c r="L17" s="30">
        <v>1686505.61</v>
      </c>
      <c r="M17" s="648">
        <v>0</v>
      </c>
      <c r="N17" s="30">
        <v>29142213.029999997</v>
      </c>
      <c r="O17" s="30">
        <v>263</v>
      </c>
      <c r="P17" s="30">
        <v>3785480.95</v>
      </c>
      <c r="Q17" s="30">
        <v>2040622.27</v>
      </c>
      <c r="R17" s="30">
        <v>4555635.54</v>
      </c>
      <c r="S17" s="650">
        <v>7455.16</v>
      </c>
    </row>
    <row r="18" spans="1:19" ht="15" customHeight="1" x14ac:dyDescent="0.3">
      <c r="A18" s="6" t="s">
        <v>50</v>
      </c>
      <c r="B18" s="30">
        <v>49536152.020000003</v>
      </c>
      <c r="C18" s="30">
        <v>6536</v>
      </c>
      <c r="D18" s="30">
        <v>11394088.17</v>
      </c>
      <c r="E18" s="30">
        <v>0</v>
      </c>
      <c r="F18" s="30">
        <v>5420.57</v>
      </c>
      <c r="G18" s="650">
        <v>0</v>
      </c>
      <c r="H18" s="649">
        <v>522561.93000000005</v>
      </c>
      <c r="I18" s="649">
        <v>0</v>
      </c>
      <c r="J18" s="649">
        <v>0</v>
      </c>
      <c r="K18" s="649">
        <v>0</v>
      </c>
      <c r="L18" s="649">
        <v>0</v>
      </c>
      <c r="M18" s="648">
        <v>0</v>
      </c>
      <c r="N18" s="30">
        <v>50058713.950000003</v>
      </c>
      <c r="O18" s="30">
        <v>6536</v>
      </c>
      <c r="P18" s="30">
        <v>11394088.17</v>
      </c>
      <c r="Q18" s="30">
        <v>0</v>
      </c>
      <c r="R18" s="30">
        <v>5420.57</v>
      </c>
      <c r="S18" s="650">
        <v>0</v>
      </c>
    </row>
    <row r="19" spans="1:19" ht="15" customHeight="1" x14ac:dyDescent="0.3">
      <c r="A19" s="6" t="s">
        <v>51</v>
      </c>
      <c r="B19" s="30">
        <v>81611191.600000024</v>
      </c>
      <c r="C19" s="30">
        <v>23811</v>
      </c>
      <c r="D19" s="30">
        <v>42808822.82</v>
      </c>
      <c r="E19" s="30"/>
      <c r="F19" s="30"/>
      <c r="G19" s="30"/>
      <c r="H19" s="30">
        <v>4475738.7699999996</v>
      </c>
      <c r="I19" s="30">
        <v>257</v>
      </c>
      <c r="J19" s="30">
        <v>1057680</v>
      </c>
      <c r="K19" s="649">
        <v>0</v>
      </c>
      <c r="L19" s="649">
        <v>0</v>
      </c>
      <c r="M19" s="648">
        <v>0</v>
      </c>
      <c r="N19" s="30">
        <v>86086930.37000002</v>
      </c>
      <c r="O19" s="30">
        <v>24068</v>
      </c>
      <c r="P19" s="30">
        <v>43866502.82</v>
      </c>
      <c r="Q19" s="30">
        <v>0</v>
      </c>
      <c r="R19" s="30">
        <v>0</v>
      </c>
      <c r="S19" s="30">
        <v>0</v>
      </c>
    </row>
    <row r="20" spans="1:19" ht="15" customHeight="1" x14ac:dyDescent="0.3">
      <c r="A20" s="6"/>
      <c r="B20" s="30"/>
      <c r="C20" s="30"/>
      <c r="D20" s="30"/>
      <c r="E20" s="30"/>
      <c r="F20" s="30"/>
      <c r="G20" s="30"/>
      <c r="H20" s="649"/>
      <c r="I20" s="649"/>
      <c r="J20" s="649"/>
      <c r="K20" s="649"/>
      <c r="L20" s="649"/>
      <c r="M20" s="648"/>
      <c r="N20" s="30"/>
      <c r="O20" s="30"/>
      <c r="P20" s="30"/>
      <c r="Q20" s="30"/>
      <c r="R20" s="30"/>
      <c r="S20" s="30"/>
    </row>
    <row r="21" spans="1:19" ht="15" customHeight="1" x14ac:dyDescent="0.3">
      <c r="A21" s="11" t="s">
        <v>52</v>
      </c>
      <c r="B21" s="28">
        <v>50616135.940000013</v>
      </c>
      <c r="C21" s="28">
        <v>32695</v>
      </c>
      <c r="D21" s="28">
        <v>39220088.079999998</v>
      </c>
      <c r="E21" s="650">
        <v>0</v>
      </c>
      <c r="F21" s="650">
        <v>0</v>
      </c>
      <c r="G21" s="650">
        <v>0</v>
      </c>
      <c r="H21" s="650">
        <v>0</v>
      </c>
      <c r="I21" s="650">
        <v>24</v>
      </c>
      <c r="J21" s="650">
        <v>806.64000000000021</v>
      </c>
      <c r="K21" s="650">
        <v>0</v>
      </c>
      <c r="L21" s="650">
        <v>0</v>
      </c>
      <c r="M21" s="648">
        <v>0</v>
      </c>
      <c r="N21" s="28">
        <v>50616135.940000013</v>
      </c>
      <c r="O21" s="28">
        <v>32719</v>
      </c>
      <c r="P21" s="28">
        <v>39220894.719999999</v>
      </c>
      <c r="Q21" s="650">
        <v>0</v>
      </c>
      <c r="R21" s="650">
        <v>0</v>
      </c>
      <c r="S21" s="650">
        <v>0</v>
      </c>
    </row>
    <row r="22" spans="1:19" ht="15" customHeight="1" x14ac:dyDescent="0.3">
      <c r="A22" s="6"/>
      <c r="B22" s="30"/>
      <c r="C22" s="30"/>
      <c r="D22" s="30"/>
      <c r="E22" s="30"/>
      <c r="F22" s="30"/>
      <c r="G22" s="30"/>
      <c r="H22" s="30"/>
      <c r="I22" s="30"/>
      <c r="J22" s="30"/>
      <c r="K22" s="30"/>
      <c r="L22" s="30"/>
      <c r="M22" s="30"/>
      <c r="N22" s="30"/>
      <c r="O22" s="30"/>
      <c r="P22" s="30"/>
      <c r="Q22" s="648"/>
      <c r="R22" s="648"/>
      <c r="S22" s="28"/>
    </row>
    <row r="23" spans="1:19" ht="15" customHeight="1" x14ac:dyDescent="0.3">
      <c r="A23" s="11" t="s">
        <v>1</v>
      </c>
      <c r="B23" s="28">
        <v>85308014.909999996</v>
      </c>
      <c r="C23" s="28">
        <v>560747</v>
      </c>
      <c r="D23" s="28">
        <v>62558823.400000006</v>
      </c>
      <c r="E23" s="648">
        <v>0</v>
      </c>
      <c r="F23" s="648">
        <v>0</v>
      </c>
      <c r="G23" s="648">
        <v>0</v>
      </c>
      <c r="H23" s="28">
        <v>18159918.510000002</v>
      </c>
      <c r="I23" s="28">
        <v>108562</v>
      </c>
      <c r="J23" s="28">
        <v>11656004.350000001</v>
      </c>
      <c r="K23" s="648">
        <v>0</v>
      </c>
      <c r="L23" s="648">
        <v>0</v>
      </c>
      <c r="M23" s="648">
        <v>0</v>
      </c>
      <c r="N23" s="28">
        <v>103467933.42</v>
      </c>
      <c r="O23" s="28">
        <v>669309</v>
      </c>
      <c r="P23" s="28">
        <v>74214827.75</v>
      </c>
      <c r="Q23" s="650">
        <v>0</v>
      </c>
      <c r="R23" s="650">
        <v>0</v>
      </c>
      <c r="S23" s="650">
        <v>0</v>
      </c>
    </row>
    <row r="24" spans="1:19" ht="15" customHeight="1" x14ac:dyDescent="0.3">
      <c r="A24" s="6"/>
      <c r="B24" s="30"/>
      <c r="C24" s="30"/>
      <c r="D24" s="30"/>
      <c r="E24" s="30"/>
      <c r="F24" s="30"/>
      <c r="G24" s="30"/>
      <c r="H24" s="30"/>
      <c r="I24" s="30"/>
      <c r="J24" s="30"/>
      <c r="K24" s="648"/>
      <c r="L24" s="648"/>
      <c r="M24" s="648"/>
      <c r="N24" s="30"/>
      <c r="O24" s="30"/>
      <c r="P24" s="30"/>
      <c r="Q24" s="650"/>
      <c r="R24" s="650"/>
      <c r="S24" s="650"/>
    </row>
    <row r="25" spans="1:19" ht="15" customHeight="1" x14ac:dyDescent="0.3">
      <c r="A25" s="6" t="s">
        <v>53</v>
      </c>
      <c r="B25" s="30">
        <v>3414354.0999999996</v>
      </c>
      <c r="C25" s="30">
        <v>6252</v>
      </c>
      <c r="D25" s="30">
        <v>956024.44000000006</v>
      </c>
      <c r="E25" s="648">
        <v>0</v>
      </c>
      <c r="F25" s="648">
        <v>0</v>
      </c>
      <c r="G25" s="648">
        <v>0</v>
      </c>
      <c r="H25" s="648">
        <v>583023.16</v>
      </c>
      <c r="I25" s="649">
        <v>12</v>
      </c>
      <c r="J25" s="649">
        <v>5497.54</v>
      </c>
      <c r="K25" s="648">
        <v>0</v>
      </c>
      <c r="L25" s="648">
        <v>0</v>
      </c>
      <c r="M25" s="648">
        <v>0</v>
      </c>
      <c r="N25" s="30">
        <v>3997377.26</v>
      </c>
      <c r="O25" s="30">
        <v>6264</v>
      </c>
      <c r="P25" s="30">
        <v>961521.9800000001</v>
      </c>
      <c r="Q25" s="650">
        <v>0</v>
      </c>
      <c r="R25" s="650">
        <v>0</v>
      </c>
      <c r="S25" s="650">
        <v>0</v>
      </c>
    </row>
    <row r="26" spans="1:19" ht="15" customHeight="1" x14ac:dyDescent="0.3">
      <c r="A26" s="6" t="s">
        <v>70</v>
      </c>
      <c r="B26" s="30">
        <v>81893660.810000002</v>
      </c>
      <c r="C26" s="30">
        <v>554495</v>
      </c>
      <c r="D26" s="30">
        <v>61602798.960000008</v>
      </c>
      <c r="E26" s="648">
        <v>0</v>
      </c>
      <c r="F26" s="648">
        <v>0</v>
      </c>
      <c r="G26" s="648">
        <v>0</v>
      </c>
      <c r="H26" s="30">
        <v>17576895.350000001</v>
      </c>
      <c r="I26" s="30">
        <v>108550</v>
      </c>
      <c r="J26" s="30">
        <v>11650506.810000002</v>
      </c>
      <c r="K26" s="648">
        <v>0</v>
      </c>
      <c r="L26" s="648">
        <v>0</v>
      </c>
      <c r="M26" s="648">
        <v>0</v>
      </c>
      <c r="N26" s="30">
        <v>99470556.159999996</v>
      </c>
      <c r="O26" s="30">
        <v>663045</v>
      </c>
      <c r="P26" s="30">
        <v>73253305.770000011</v>
      </c>
      <c r="Q26" s="650">
        <v>0</v>
      </c>
      <c r="R26" s="650">
        <v>0</v>
      </c>
      <c r="S26" s="650">
        <v>0</v>
      </c>
    </row>
    <row r="27" spans="1:19" ht="15" customHeight="1" x14ac:dyDescent="0.3">
      <c r="A27" s="6"/>
      <c r="B27" s="30"/>
      <c r="C27" s="30"/>
      <c r="D27" s="30"/>
      <c r="E27" s="648"/>
      <c r="F27" s="648"/>
      <c r="G27" s="648"/>
      <c r="H27" s="34"/>
      <c r="I27" s="30"/>
      <c r="J27" s="30"/>
      <c r="K27" s="648"/>
      <c r="L27" s="648"/>
      <c r="M27" s="648"/>
      <c r="N27" s="30"/>
      <c r="O27" s="30"/>
      <c r="P27" s="30"/>
      <c r="Q27" s="650"/>
      <c r="R27" s="650"/>
      <c r="S27" s="650"/>
    </row>
    <row r="28" spans="1:19" ht="15" customHeight="1" x14ac:dyDescent="0.3">
      <c r="A28" s="11" t="s">
        <v>55</v>
      </c>
      <c r="B28" s="28">
        <v>197096356.71000001</v>
      </c>
      <c r="C28" s="28">
        <v>71288</v>
      </c>
      <c r="D28" s="28">
        <v>88575024.689999998</v>
      </c>
      <c r="E28" s="648">
        <v>0</v>
      </c>
      <c r="F28" s="648">
        <v>0</v>
      </c>
      <c r="G28" s="648">
        <v>0</v>
      </c>
      <c r="H28" s="648">
        <v>0</v>
      </c>
      <c r="I28" s="648">
        <v>0</v>
      </c>
      <c r="J28" s="648">
        <v>0</v>
      </c>
      <c r="K28" s="648">
        <v>0</v>
      </c>
      <c r="L28" s="648">
        <v>0</v>
      </c>
      <c r="M28" s="648">
        <v>0</v>
      </c>
      <c r="N28" s="28">
        <v>197096356.71000001</v>
      </c>
      <c r="O28" s="28">
        <v>71288</v>
      </c>
      <c r="P28" s="28">
        <v>88575024.689999998</v>
      </c>
      <c r="Q28" s="650">
        <v>0</v>
      </c>
      <c r="R28" s="650">
        <v>0</v>
      </c>
      <c r="S28" s="650">
        <v>0</v>
      </c>
    </row>
    <row r="29" spans="1:19" ht="15" customHeight="1" x14ac:dyDescent="0.3">
      <c r="A29" s="6"/>
      <c r="B29" s="30"/>
      <c r="C29" s="30"/>
      <c r="D29" s="30"/>
      <c r="E29" s="648"/>
      <c r="F29" s="648"/>
      <c r="G29" s="648"/>
      <c r="H29" s="30"/>
      <c r="I29" s="30"/>
      <c r="J29" s="30"/>
      <c r="K29" s="30"/>
      <c r="L29" s="30"/>
      <c r="M29" s="30"/>
      <c r="N29" s="30"/>
      <c r="O29" s="30"/>
      <c r="P29" s="30"/>
      <c r="Q29" s="648"/>
      <c r="R29" s="648"/>
      <c r="S29" s="648"/>
    </row>
    <row r="30" spans="1:19" ht="15" customHeight="1" x14ac:dyDescent="0.3">
      <c r="A30" s="6" t="s">
        <v>56</v>
      </c>
      <c r="B30" s="648">
        <v>228075.93</v>
      </c>
      <c r="C30" s="30">
        <v>108</v>
      </c>
      <c r="D30" s="30">
        <v>90909.62000000001</v>
      </c>
      <c r="E30" s="648">
        <v>0</v>
      </c>
      <c r="F30" s="648">
        <v>0</v>
      </c>
      <c r="G30" s="648">
        <v>0</v>
      </c>
      <c r="H30" s="648">
        <v>0</v>
      </c>
      <c r="I30" s="648">
        <v>0</v>
      </c>
      <c r="J30" s="648">
        <v>0</v>
      </c>
      <c r="K30" s="648">
        <v>0</v>
      </c>
      <c r="L30" s="648">
        <v>0</v>
      </c>
      <c r="M30" s="648">
        <v>0</v>
      </c>
      <c r="N30" s="650">
        <v>228075.93</v>
      </c>
      <c r="O30" s="30">
        <v>108</v>
      </c>
      <c r="P30" s="30">
        <v>90909.62000000001</v>
      </c>
      <c r="Q30" s="650">
        <v>0</v>
      </c>
      <c r="R30" s="650">
        <v>0</v>
      </c>
      <c r="S30" s="650">
        <v>0</v>
      </c>
    </row>
    <row r="31" spans="1:19" ht="15" customHeight="1" x14ac:dyDescent="0.3">
      <c r="A31" s="6" t="s">
        <v>57</v>
      </c>
      <c r="B31" s="30">
        <v>80281646.950000003</v>
      </c>
      <c r="C31" s="30">
        <v>4695</v>
      </c>
      <c r="D31" s="30">
        <v>13374181.819999998</v>
      </c>
      <c r="E31" s="648">
        <v>0</v>
      </c>
      <c r="F31" s="648">
        <v>0</v>
      </c>
      <c r="G31" s="648">
        <v>0</v>
      </c>
      <c r="H31" s="648">
        <v>0</v>
      </c>
      <c r="I31" s="648">
        <v>0</v>
      </c>
      <c r="J31" s="648">
        <v>0</v>
      </c>
      <c r="K31" s="648">
        <v>0</v>
      </c>
      <c r="L31" s="648">
        <v>0</v>
      </c>
      <c r="M31" s="648">
        <v>0</v>
      </c>
      <c r="N31" s="30">
        <v>80281646.950000003</v>
      </c>
      <c r="O31" s="30">
        <v>4695</v>
      </c>
      <c r="P31" s="30">
        <v>13374181.819999998</v>
      </c>
      <c r="Q31" s="650">
        <v>0</v>
      </c>
      <c r="R31" s="650">
        <v>0</v>
      </c>
      <c r="S31" s="650">
        <v>0</v>
      </c>
    </row>
    <row r="32" spans="1:19" ht="15" customHeight="1" x14ac:dyDescent="0.3">
      <c r="A32" s="6" t="s">
        <v>58</v>
      </c>
      <c r="B32" s="30">
        <v>61359186.829999998</v>
      </c>
      <c r="C32" s="30">
        <v>58840</v>
      </c>
      <c r="D32" s="30">
        <v>57441980.93</v>
      </c>
      <c r="E32" s="648">
        <v>0</v>
      </c>
      <c r="F32" s="648">
        <v>0</v>
      </c>
      <c r="G32" s="648">
        <v>0</v>
      </c>
      <c r="H32" s="648">
        <v>0</v>
      </c>
      <c r="I32" s="648">
        <v>0</v>
      </c>
      <c r="J32" s="648">
        <v>0</v>
      </c>
      <c r="K32" s="648">
        <v>0</v>
      </c>
      <c r="L32" s="648">
        <v>0</v>
      </c>
      <c r="M32" s="648">
        <v>0</v>
      </c>
      <c r="N32" s="30">
        <v>61359186.829999998</v>
      </c>
      <c r="O32" s="30">
        <v>58840</v>
      </c>
      <c r="P32" s="30">
        <v>57441980.93</v>
      </c>
      <c r="Q32" s="650">
        <v>0</v>
      </c>
      <c r="R32" s="650">
        <v>0</v>
      </c>
      <c r="S32" s="650">
        <v>0</v>
      </c>
    </row>
    <row r="33" spans="1:19" ht="15" customHeight="1" x14ac:dyDescent="0.3">
      <c r="A33" s="6" t="s">
        <v>59</v>
      </c>
      <c r="B33" s="30">
        <v>10208178.27</v>
      </c>
      <c r="C33" s="30">
        <v>1548</v>
      </c>
      <c r="D33" s="30">
        <v>2340145.9500000002</v>
      </c>
      <c r="E33" s="648">
        <v>0</v>
      </c>
      <c r="F33" s="648">
        <v>0</v>
      </c>
      <c r="G33" s="648">
        <v>0</v>
      </c>
      <c r="H33" s="648">
        <v>0</v>
      </c>
      <c r="I33" s="648">
        <v>0</v>
      </c>
      <c r="J33" s="648">
        <v>0</v>
      </c>
      <c r="K33" s="648">
        <v>0</v>
      </c>
      <c r="L33" s="648">
        <v>0</v>
      </c>
      <c r="M33" s="648">
        <v>0</v>
      </c>
      <c r="N33" s="30">
        <v>10208178.27</v>
      </c>
      <c r="O33" s="30">
        <v>1548</v>
      </c>
      <c r="P33" s="30">
        <v>2340145.9500000002</v>
      </c>
      <c r="Q33" s="650">
        <v>0</v>
      </c>
      <c r="R33" s="650">
        <v>0</v>
      </c>
      <c r="S33" s="650">
        <v>0</v>
      </c>
    </row>
    <row r="34" spans="1:19" ht="15" customHeight="1" x14ac:dyDescent="0.3">
      <c r="A34" s="6" t="s">
        <v>60</v>
      </c>
      <c r="B34" s="30">
        <v>45019268.729999997</v>
      </c>
      <c r="C34" s="30">
        <v>6097</v>
      </c>
      <c r="D34" s="30">
        <v>15327806.369999997</v>
      </c>
      <c r="E34" s="648">
        <v>0</v>
      </c>
      <c r="F34" s="648">
        <v>0</v>
      </c>
      <c r="G34" s="648">
        <v>0</v>
      </c>
      <c r="H34" s="648">
        <v>0</v>
      </c>
      <c r="I34" s="648">
        <v>0</v>
      </c>
      <c r="J34" s="648">
        <v>0</v>
      </c>
      <c r="K34" s="648">
        <v>0</v>
      </c>
      <c r="L34" s="648">
        <v>0</v>
      </c>
      <c r="M34" s="648">
        <v>0</v>
      </c>
      <c r="N34" s="30">
        <v>45019268.729999997</v>
      </c>
      <c r="O34" s="30">
        <v>6097</v>
      </c>
      <c r="P34" s="30">
        <v>15327806.369999997</v>
      </c>
      <c r="Q34" s="650">
        <v>0</v>
      </c>
      <c r="R34" s="650">
        <v>0</v>
      </c>
      <c r="S34" s="650">
        <v>0</v>
      </c>
    </row>
    <row r="35" spans="1:19" ht="15" customHeight="1" x14ac:dyDescent="0.3">
      <c r="A35" s="6"/>
      <c r="B35" s="30"/>
      <c r="C35" s="30"/>
      <c r="D35" s="30"/>
      <c r="E35" s="648"/>
      <c r="F35" s="648"/>
      <c r="G35" s="648"/>
      <c r="H35" s="30"/>
      <c r="I35" s="30"/>
      <c r="J35" s="30"/>
      <c r="K35" s="30"/>
      <c r="L35" s="30"/>
      <c r="M35" s="30"/>
      <c r="N35" s="30"/>
      <c r="O35" s="30"/>
      <c r="P35" s="30"/>
      <c r="Q35" s="650"/>
      <c r="R35" s="650"/>
      <c r="S35" s="650"/>
    </row>
    <row r="36" spans="1:19" ht="15" customHeight="1" x14ac:dyDescent="0.3">
      <c r="A36" s="11" t="s">
        <v>61</v>
      </c>
      <c r="B36" s="28">
        <v>13367061.110000001</v>
      </c>
      <c r="C36" s="28">
        <v>50</v>
      </c>
      <c r="D36" s="28">
        <v>1734060.6099999999</v>
      </c>
      <c r="E36" s="648">
        <v>0</v>
      </c>
      <c r="F36" s="648">
        <v>0</v>
      </c>
      <c r="G36" s="648">
        <v>0</v>
      </c>
      <c r="H36" s="651">
        <v>0</v>
      </c>
      <c r="I36" s="651">
        <v>0</v>
      </c>
      <c r="J36" s="651">
        <v>0</v>
      </c>
      <c r="K36" s="651">
        <v>0</v>
      </c>
      <c r="L36" s="651">
        <v>0</v>
      </c>
      <c r="M36" s="651">
        <v>0</v>
      </c>
      <c r="N36" s="28">
        <v>13367061.110000001</v>
      </c>
      <c r="O36" s="28">
        <v>50</v>
      </c>
      <c r="P36" s="28">
        <v>1734060.6099999999</v>
      </c>
      <c r="Q36" s="650">
        <v>0</v>
      </c>
      <c r="R36" s="650">
        <v>0</v>
      </c>
      <c r="S36" s="650">
        <v>0</v>
      </c>
    </row>
    <row r="37" spans="1:19" ht="13.5" thickBot="1" x14ac:dyDescent="0.35">
      <c r="A37" s="13"/>
      <c r="B37" s="35"/>
      <c r="C37" s="35"/>
      <c r="D37" s="35"/>
      <c r="E37" s="35"/>
      <c r="F37" s="35"/>
      <c r="G37" s="35"/>
      <c r="H37" s="35"/>
      <c r="I37" s="35"/>
      <c r="J37" s="35"/>
      <c r="K37" s="35"/>
      <c r="L37" s="35"/>
      <c r="M37" s="35"/>
      <c r="N37" s="35"/>
      <c r="O37" s="35"/>
      <c r="P37" s="35"/>
      <c r="Q37" s="35"/>
      <c r="R37" s="35"/>
      <c r="S37" s="35"/>
    </row>
    <row r="38" spans="1:19" ht="14.5" x14ac:dyDescent="0.35">
      <c r="A38" s="36" t="s">
        <v>62</v>
      </c>
      <c r="B38" s="37"/>
      <c r="C38" s="37"/>
      <c r="D38" s="37"/>
      <c r="E38" s="37"/>
      <c r="F38" s="37"/>
      <c r="G38" s="37"/>
      <c r="H38" s="37"/>
      <c r="I38" s="37"/>
      <c r="J38" s="37"/>
      <c r="K38" s="37"/>
      <c r="L38" s="37"/>
      <c r="M38" s="37"/>
      <c r="N38" s="37"/>
      <c r="O38" s="37"/>
      <c r="P38" s="37"/>
      <c r="Q38" s="37"/>
      <c r="R38" s="37"/>
    </row>
    <row r="39" spans="1:19" ht="14.5" x14ac:dyDescent="0.35">
      <c r="A39" s="36" t="s">
        <v>63</v>
      </c>
      <c r="B39" s="37"/>
      <c r="C39" s="37"/>
      <c r="D39" s="37"/>
      <c r="E39" s="37"/>
      <c r="F39" s="37"/>
      <c r="G39" s="37"/>
      <c r="H39" s="37"/>
      <c r="I39" s="37"/>
      <c r="J39" s="37"/>
      <c r="K39" s="37"/>
      <c r="L39" s="37"/>
      <c r="M39" s="37"/>
      <c r="N39" s="37"/>
      <c r="O39" s="37"/>
      <c r="P39" s="37"/>
      <c r="Q39" s="37"/>
      <c r="R39" s="37"/>
    </row>
    <row r="40" spans="1:19" ht="14.5" x14ac:dyDescent="0.35">
      <c r="A40" s="38" t="s">
        <v>30</v>
      </c>
      <c r="B40" s="37"/>
      <c r="C40" s="37"/>
      <c r="D40" s="37"/>
      <c r="E40" s="37"/>
      <c r="F40" s="37"/>
      <c r="G40" s="37"/>
      <c r="H40" s="37"/>
      <c r="I40" s="37"/>
      <c r="J40" s="37"/>
      <c r="K40" s="37"/>
      <c r="L40" s="37"/>
      <c r="M40" s="37"/>
      <c r="N40" s="37"/>
      <c r="O40" s="37"/>
      <c r="P40" s="37"/>
      <c r="Q40" s="37"/>
      <c r="R40" s="37"/>
    </row>
    <row r="41" spans="1:19" x14ac:dyDescent="0.3">
      <c r="B41" s="37"/>
      <c r="C41" s="37"/>
      <c r="D41" s="37"/>
      <c r="E41" s="37"/>
      <c r="F41" s="37"/>
      <c r="G41" s="37"/>
      <c r="H41" s="37"/>
      <c r="I41" s="37"/>
      <c r="J41" s="37"/>
      <c r="K41" s="37"/>
      <c r="L41" s="37"/>
      <c r="M41" s="37"/>
      <c r="N41" s="37"/>
      <c r="O41" s="37"/>
      <c r="P41" s="37"/>
      <c r="Q41" s="37"/>
      <c r="R41" s="37"/>
    </row>
    <row r="42" spans="1:19" x14ac:dyDescent="0.3">
      <c r="B42" s="37"/>
      <c r="C42" s="37"/>
      <c r="D42" s="37"/>
      <c r="E42" s="37"/>
      <c r="F42" s="37"/>
      <c r="G42" s="37"/>
      <c r="H42" s="37"/>
      <c r="I42" s="37"/>
      <c r="J42" s="37"/>
      <c r="K42" s="37"/>
      <c r="L42" s="37"/>
      <c r="M42" s="37"/>
      <c r="N42" s="37"/>
      <c r="O42" s="37"/>
      <c r="P42" s="37"/>
      <c r="Q42" s="37"/>
      <c r="R42" s="37"/>
    </row>
    <row r="43" spans="1:19" x14ac:dyDescent="0.3">
      <c r="B43" s="37"/>
      <c r="C43" s="37"/>
      <c r="D43" s="37"/>
      <c r="E43" s="37"/>
      <c r="F43" s="37"/>
      <c r="G43" s="37"/>
      <c r="H43" s="37"/>
      <c r="I43" s="37"/>
      <c r="J43" s="37"/>
      <c r="K43" s="37"/>
      <c r="L43" s="37"/>
      <c r="M43" s="37"/>
      <c r="N43" s="37"/>
      <c r="O43" s="37"/>
      <c r="P43" s="37"/>
      <c r="Q43" s="37"/>
      <c r="R43" s="37"/>
    </row>
    <row r="44" spans="1:19" x14ac:dyDescent="0.3">
      <c r="B44" s="37"/>
      <c r="C44" s="37"/>
      <c r="D44" s="37"/>
      <c r="E44" s="37"/>
      <c r="F44" s="37"/>
      <c r="G44" s="37"/>
      <c r="H44" s="37"/>
      <c r="I44" s="37"/>
      <c r="J44" s="37"/>
      <c r="K44" s="37"/>
      <c r="L44" s="37"/>
      <c r="M44" s="37"/>
      <c r="N44" s="37"/>
      <c r="O44" s="37"/>
      <c r="P44" s="37"/>
      <c r="Q44" s="37"/>
      <c r="R44" s="37"/>
    </row>
    <row r="45" spans="1:19" x14ac:dyDescent="0.3">
      <c r="B45" s="37"/>
      <c r="C45" s="37"/>
      <c r="D45" s="37"/>
      <c r="E45" s="37"/>
      <c r="F45" s="37"/>
      <c r="G45" s="37"/>
      <c r="H45" s="37"/>
      <c r="I45" s="37"/>
      <c r="J45" s="37"/>
      <c r="K45" s="37"/>
      <c r="L45" s="37"/>
      <c r="M45" s="37"/>
      <c r="N45" s="37"/>
      <c r="O45" s="37"/>
      <c r="P45" s="37"/>
      <c r="Q45" s="37"/>
      <c r="R45" s="37"/>
    </row>
    <row r="46" spans="1:19" x14ac:dyDescent="0.3">
      <c r="B46" s="37"/>
      <c r="C46" s="37"/>
      <c r="D46" s="37"/>
      <c r="E46" s="37"/>
      <c r="F46" s="37"/>
      <c r="G46" s="37"/>
      <c r="H46" s="37"/>
      <c r="I46" s="37"/>
      <c r="J46" s="37"/>
      <c r="K46" s="37"/>
      <c r="L46" s="37"/>
      <c r="M46" s="37"/>
      <c r="N46" s="37"/>
      <c r="O46" s="37"/>
      <c r="P46" s="37"/>
      <c r="Q46" s="37"/>
      <c r="R46" s="37"/>
    </row>
    <row r="47" spans="1:19" x14ac:dyDescent="0.3">
      <c r="B47" s="37"/>
      <c r="C47" s="37"/>
      <c r="D47" s="37"/>
      <c r="E47" s="37"/>
      <c r="F47" s="37"/>
      <c r="G47" s="37"/>
      <c r="H47" s="37"/>
      <c r="I47" s="37"/>
      <c r="J47" s="37"/>
      <c r="K47" s="37"/>
      <c r="L47" s="37"/>
      <c r="M47" s="37"/>
      <c r="N47" s="37"/>
      <c r="O47" s="37"/>
      <c r="P47" s="37"/>
      <c r="Q47" s="37"/>
      <c r="R47" s="37"/>
    </row>
    <row r="48" spans="1:19" x14ac:dyDescent="0.3">
      <c r="B48" s="37"/>
      <c r="C48" s="37"/>
      <c r="D48" s="37"/>
      <c r="E48" s="37"/>
      <c r="F48" s="37"/>
      <c r="G48" s="37"/>
      <c r="H48" s="37"/>
      <c r="I48" s="37"/>
      <c r="J48" s="37"/>
      <c r="K48" s="37"/>
      <c r="L48" s="37"/>
      <c r="M48" s="37"/>
      <c r="N48" s="37"/>
      <c r="O48" s="37"/>
      <c r="P48" s="37"/>
      <c r="Q48" s="37"/>
      <c r="R48" s="37"/>
    </row>
    <row r="49" spans="2:18" x14ac:dyDescent="0.3">
      <c r="B49" s="37"/>
      <c r="C49" s="37"/>
      <c r="D49" s="37"/>
      <c r="E49" s="37"/>
      <c r="F49" s="37"/>
      <c r="G49" s="37"/>
      <c r="H49" s="37"/>
      <c r="I49" s="37"/>
      <c r="J49" s="37"/>
      <c r="K49" s="37"/>
      <c r="L49" s="37"/>
      <c r="M49" s="37"/>
      <c r="N49" s="37"/>
      <c r="O49" s="37"/>
      <c r="P49" s="37"/>
      <c r="Q49" s="37"/>
      <c r="R49" s="37"/>
    </row>
    <row r="50" spans="2:18" x14ac:dyDescent="0.3">
      <c r="B50" s="37"/>
      <c r="C50" s="37"/>
      <c r="D50" s="37"/>
      <c r="E50" s="37"/>
      <c r="F50" s="37"/>
      <c r="G50" s="37"/>
      <c r="H50" s="37"/>
      <c r="I50" s="37"/>
      <c r="J50" s="37"/>
      <c r="K50" s="37"/>
      <c r="L50" s="37"/>
      <c r="M50" s="37"/>
      <c r="N50" s="37"/>
      <c r="O50" s="37"/>
      <c r="P50" s="37"/>
      <c r="Q50" s="37"/>
      <c r="R50" s="37"/>
    </row>
    <row r="51" spans="2:18" x14ac:dyDescent="0.3">
      <c r="B51" s="37"/>
      <c r="C51" s="37"/>
      <c r="D51" s="37"/>
      <c r="E51" s="37"/>
      <c r="F51" s="37"/>
      <c r="G51" s="37"/>
      <c r="H51" s="37"/>
      <c r="I51" s="37"/>
      <c r="J51" s="37"/>
      <c r="K51" s="37"/>
      <c r="L51" s="37"/>
      <c r="M51" s="37"/>
      <c r="N51" s="37"/>
      <c r="O51" s="37"/>
      <c r="P51" s="37"/>
      <c r="Q51" s="37"/>
      <c r="R51" s="37"/>
    </row>
    <row r="52" spans="2:18" x14ac:dyDescent="0.3">
      <c r="B52" s="37"/>
      <c r="C52" s="37"/>
      <c r="D52" s="37"/>
      <c r="E52" s="37"/>
      <c r="F52" s="37"/>
      <c r="G52" s="37"/>
      <c r="H52" s="37"/>
      <c r="I52" s="37"/>
      <c r="J52" s="37"/>
      <c r="K52" s="37"/>
      <c r="L52" s="37"/>
      <c r="M52" s="37"/>
      <c r="N52" s="37"/>
      <c r="O52" s="37"/>
      <c r="P52" s="37"/>
      <c r="Q52" s="37"/>
      <c r="R52" s="37"/>
    </row>
    <row r="53" spans="2:18" x14ac:dyDescent="0.3">
      <c r="B53" s="37"/>
      <c r="C53" s="37"/>
      <c r="D53" s="37"/>
      <c r="E53" s="37"/>
      <c r="F53" s="37"/>
      <c r="G53" s="37"/>
      <c r="H53" s="37"/>
      <c r="I53" s="37"/>
      <c r="J53" s="37"/>
      <c r="K53" s="37"/>
      <c r="L53" s="37"/>
      <c r="M53" s="37"/>
      <c r="N53" s="37"/>
      <c r="O53" s="37"/>
      <c r="P53" s="37"/>
      <c r="Q53" s="37"/>
      <c r="R53" s="37"/>
    </row>
    <row r="54" spans="2:18" x14ac:dyDescent="0.3">
      <c r="B54" s="37"/>
      <c r="C54" s="37"/>
      <c r="D54" s="37"/>
      <c r="E54" s="37"/>
      <c r="F54" s="37"/>
      <c r="G54" s="37"/>
      <c r="H54" s="37"/>
      <c r="I54" s="37"/>
      <c r="J54" s="37"/>
      <c r="K54" s="37"/>
      <c r="L54" s="37"/>
      <c r="M54" s="37"/>
      <c r="N54" s="37"/>
      <c r="O54" s="37"/>
      <c r="P54" s="37"/>
      <c r="Q54" s="37"/>
      <c r="R54" s="37"/>
    </row>
    <row r="55" spans="2:18" x14ac:dyDescent="0.3">
      <c r="B55" s="37"/>
      <c r="C55" s="37"/>
      <c r="D55" s="37"/>
      <c r="E55" s="37"/>
      <c r="F55" s="37"/>
      <c r="G55" s="37"/>
      <c r="H55" s="37"/>
      <c r="I55" s="37"/>
      <c r="J55" s="37"/>
      <c r="K55" s="37"/>
      <c r="L55" s="37"/>
      <c r="M55" s="37"/>
      <c r="N55" s="37"/>
      <c r="O55" s="37"/>
      <c r="P55" s="37"/>
      <c r="Q55" s="37"/>
      <c r="R55" s="37"/>
    </row>
    <row r="56" spans="2:18" x14ac:dyDescent="0.3">
      <c r="B56" s="37"/>
      <c r="C56" s="37"/>
      <c r="D56" s="37"/>
      <c r="E56" s="37"/>
      <c r="F56" s="37"/>
      <c r="G56" s="37"/>
      <c r="H56" s="37"/>
      <c r="I56" s="37"/>
      <c r="J56" s="37"/>
      <c r="K56" s="37"/>
      <c r="L56" s="37"/>
      <c r="M56" s="37"/>
      <c r="N56" s="37"/>
      <c r="O56" s="37"/>
      <c r="P56" s="37"/>
      <c r="Q56" s="37"/>
      <c r="R56" s="37"/>
    </row>
    <row r="57" spans="2:18" x14ac:dyDescent="0.3">
      <c r="B57" s="37"/>
      <c r="C57" s="37"/>
      <c r="D57" s="37"/>
      <c r="E57" s="37"/>
      <c r="F57" s="37"/>
      <c r="G57" s="37"/>
      <c r="H57" s="37"/>
      <c r="I57" s="37"/>
      <c r="J57" s="37"/>
      <c r="K57" s="37"/>
      <c r="L57" s="37"/>
      <c r="M57" s="37"/>
      <c r="N57" s="37"/>
      <c r="O57" s="37"/>
      <c r="P57" s="37"/>
      <c r="Q57" s="37"/>
      <c r="R57" s="37"/>
    </row>
    <row r="58" spans="2:18" x14ac:dyDescent="0.3">
      <c r="B58" s="37"/>
      <c r="C58" s="37"/>
      <c r="D58" s="37"/>
      <c r="E58" s="37"/>
      <c r="F58" s="37"/>
      <c r="G58" s="37"/>
      <c r="H58" s="37"/>
      <c r="I58" s="37"/>
      <c r="J58" s="37"/>
      <c r="K58" s="37"/>
      <c r="L58" s="37"/>
      <c r="M58" s="37"/>
      <c r="N58" s="37"/>
      <c r="O58" s="37"/>
      <c r="P58" s="37"/>
      <c r="Q58" s="37"/>
      <c r="R58" s="37"/>
    </row>
    <row r="59" spans="2:18" x14ac:dyDescent="0.3">
      <c r="B59" s="37"/>
      <c r="C59" s="37"/>
      <c r="D59" s="37"/>
      <c r="E59" s="37"/>
      <c r="F59" s="37"/>
      <c r="G59" s="37"/>
      <c r="H59" s="37"/>
      <c r="I59" s="37"/>
      <c r="J59" s="37"/>
      <c r="K59" s="37"/>
      <c r="L59" s="37"/>
      <c r="M59" s="37"/>
      <c r="N59" s="37"/>
      <c r="O59" s="37"/>
      <c r="P59" s="37"/>
      <c r="Q59" s="37"/>
      <c r="R59" s="37"/>
    </row>
    <row r="60" spans="2:18" x14ac:dyDescent="0.3">
      <c r="D60" s="652"/>
    </row>
    <row r="63" spans="2:18" x14ac:dyDescent="0.3">
      <c r="D63" s="37"/>
    </row>
  </sheetData>
  <mergeCells count="20">
    <mergeCell ref="B9:G9"/>
    <mergeCell ref="H9:M9"/>
    <mergeCell ref="N9:S9"/>
    <mergeCell ref="R1:S1"/>
    <mergeCell ref="A3:S3"/>
    <mergeCell ref="A4:S4"/>
    <mergeCell ref="A5:S5"/>
    <mergeCell ref="A6:S6"/>
    <mergeCell ref="R10:S10"/>
    <mergeCell ref="B10:B11"/>
    <mergeCell ref="C10:D10"/>
    <mergeCell ref="E10:E11"/>
    <mergeCell ref="F10:G10"/>
    <mergeCell ref="H10:H11"/>
    <mergeCell ref="I10:J10"/>
    <mergeCell ref="K10:K11"/>
    <mergeCell ref="L10:M10"/>
    <mergeCell ref="N10:N11"/>
    <mergeCell ref="O10:P10"/>
    <mergeCell ref="Q10:Q1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93"/>
  <sheetViews>
    <sheetView topLeftCell="A122" workbookViewId="0">
      <selection sqref="A1:XFD1048576"/>
    </sheetView>
  </sheetViews>
  <sheetFormatPr baseColWidth="10" defaultColWidth="11.453125" defaultRowHeight="13" x14ac:dyDescent="0.3"/>
  <cols>
    <col min="1" max="1" width="4.26953125" style="47" customWidth="1"/>
    <col min="2" max="2" width="93.54296875" style="51" customWidth="1"/>
    <col min="3" max="3" width="16" style="51" customWidth="1"/>
    <col min="4" max="4" width="15.1796875" style="51" customWidth="1"/>
    <col min="5" max="5" width="3.1796875" style="51" customWidth="1"/>
    <col min="6" max="6" width="15.26953125" style="51" customWidth="1"/>
    <col min="7" max="7" width="14.54296875" style="51" customWidth="1"/>
    <col min="8" max="8" width="34.54296875" style="51" customWidth="1"/>
    <col min="9" max="9" width="15.7265625" style="51" customWidth="1"/>
    <col min="10" max="10" width="13.81640625" style="51" bestFit="1" customWidth="1"/>
    <col min="11" max="11" width="11.453125" style="51" customWidth="1"/>
    <col min="12" max="12" width="22" style="51" bestFit="1" customWidth="1"/>
    <col min="13" max="256" width="11.453125" style="51"/>
    <col min="257" max="257" width="4.26953125" style="51" customWidth="1"/>
    <col min="258" max="258" width="93.54296875" style="51" customWidth="1"/>
    <col min="259" max="259" width="16" style="51" customWidth="1"/>
    <col min="260" max="260" width="15.1796875" style="51" customWidth="1"/>
    <col min="261" max="261" width="3.1796875" style="51" customWidth="1"/>
    <col min="262" max="262" width="15.26953125" style="51" customWidth="1"/>
    <col min="263" max="263" width="14.54296875" style="51" customWidth="1"/>
    <col min="264" max="264" width="34.54296875" style="51" customWidth="1"/>
    <col min="265" max="265" width="15.7265625" style="51" customWidth="1"/>
    <col min="266" max="266" width="13.81640625" style="51" bestFit="1" customWidth="1"/>
    <col min="267" max="267" width="11.453125" style="51" customWidth="1"/>
    <col min="268" max="268" width="22" style="51" bestFit="1" customWidth="1"/>
    <col min="269" max="512" width="11.453125" style="51"/>
    <col min="513" max="513" width="4.26953125" style="51" customWidth="1"/>
    <col min="514" max="514" width="93.54296875" style="51" customWidth="1"/>
    <col min="515" max="515" width="16" style="51" customWidth="1"/>
    <col min="516" max="516" width="15.1796875" style="51" customWidth="1"/>
    <col min="517" max="517" width="3.1796875" style="51" customWidth="1"/>
    <col min="518" max="518" width="15.26953125" style="51" customWidth="1"/>
    <col min="519" max="519" width="14.54296875" style="51" customWidth="1"/>
    <col min="520" max="520" width="34.54296875" style="51" customWidth="1"/>
    <col min="521" max="521" width="15.7265625" style="51" customWidth="1"/>
    <col min="522" max="522" width="13.81640625" style="51" bestFit="1" customWidth="1"/>
    <col min="523" max="523" width="11.453125" style="51" customWidth="1"/>
    <col min="524" max="524" width="22" style="51" bestFit="1" customWidth="1"/>
    <col min="525" max="768" width="11.453125" style="51"/>
    <col min="769" max="769" width="4.26953125" style="51" customWidth="1"/>
    <col min="770" max="770" width="93.54296875" style="51" customWidth="1"/>
    <col min="771" max="771" width="16" style="51" customWidth="1"/>
    <col min="772" max="772" width="15.1796875" style="51" customWidth="1"/>
    <col min="773" max="773" width="3.1796875" style="51" customWidth="1"/>
    <col min="774" max="774" width="15.26953125" style="51" customWidth="1"/>
    <col min="775" max="775" width="14.54296875" style="51" customWidth="1"/>
    <col min="776" max="776" width="34.54296875" style="51" customWidth="1"/>
    <col min="777" max="777" width="15.7265625" style="51" customWidth="1"/>
    <col min="778" max="778" width="13.81640625" style="51" bestFit="1" customWidth="1"/>
    <col min="779" max="779" width="11.453125" style="51" customWidth="1"/>
    <col min="780" max="780" width="22" style="51" bestFit="1" customWidth="1"/>
    <col min="781" max="1024" width="11.453125" style="51"/>
    <col min="1025" max="1025" width="4.26953125" style="51" customWidth="1"/>
    <col min="1026" max="1026" width="93.54296875" style="51" customWidth="1"/>
    <col min="1027" max="1027" width="16" style="51" customWidth="1"/>
    <col min="1028" max="1028" width="15.1796875" style="51" customWidth="1"/>
    <col min="1029" max="1029" width="3.1796875" style="51" customWidth="1"/>
    <col min="1030" max="1030" width="15.26953125" style="51" customWidth="1"/>
    <col min="1031" max="1031" width="14.54296875" style="51" customWidth="1"/>
    <col min="1032" max="1032" width="34.54296875" style="51" customWidth="1"/>
    <col min="1033" max="1033" width="15.7265625" style="51" customWidth="1"/>
    <col min="1034" max="1034" width="13.81640625" style="51" bestFit="1" customWidth="1"/>
    <col min="1035" max="1035" width="11.453125" style="51" customWidth="1"/>
    <col min="1036" max="1036" width="22" style="51" bestFit="1" customWidth="1"/>
    <col min="1037" max="1280" width="11.453125" style="51"/>
    <col min="1281" max="1281" width="4.26953125" style="51" customWidth="1"/>
    <col min="1282" max="1282" width="93.54296875" style="51" customWidth="1"/>
    <col min="1283" max="1283" width="16" style="51" customWidth="1"/>
    <col min="1284" max="1284" width="15.1796875" style="51" customWidth="1"/>
    <col min="1285" max="1285" width="3.1796875" style="51" customWidth="1"/>
    <col min="1286" max="1286" width="15.26953125" style="51" customWidth="1"/>
    <col min="1287" max="1287" width="14.54296875" style="51" customWidth="1"/>
    <col min="1288" max="1288" width="34.54296875" style="51" customWidth="1"/>
    <col min="1289" max="1289" width="15.7265625" style="51" customWidth="1"/>
    <col min="1290" max="1290" width="13.81640625" style="51" bestFit="1" customWidth="1"/>
    <col min="1291" max="1291" width="11.453125" style="51" customWidth="1"/>
    <col min="1292" max="1292" width="22" style="51" bestFit="1" customWidth="1"/>
    <col min="1293" max="1536" width="11.453125" style="51"/>
    <col min="1537" max="1537" width="4.26953125" style="51" customWidth="1"/>
    <col min="1538" max="1538" width="93.54296875" style="51" customWidth="1"/>
    <col min="1539" max="1539" width="16" style="51" customWidth="1"/>
    <col min="1540" max="1540" width="15.1796875" style="51" customWidth="1"/>
    <col min="1541" max="1541" width="3.1796875" style="51" customWidth="1"/>
    <col min="1542" max="1542" width="15.26953125" style="51" customWidth="1"/>
    <col min="1543" max="1543" width="14.54296875" style="51" customWidth="1"/>
    <col min="1544" max="1544" width="34.54296875" style="51" customWidth="1"/>
    <col min="1545" max="1545" width="15.7265625" style="51" customWidth="1"/>
    <col min="1546" max="1546" width="13.81640625" style="51" bestFit="1" customWidth="1"/>
    <col min="1547" max="1547" width="11.453125" style="51" customWidth="1"/>
    <col min="1548" max="1548" width="22" style="51" bestFit="1" customWidth="1"/>
    <col min="1549" max="1792" width="11.453125" style="51"/>
    <col min="1793" max="1793" width="4.26953125" style="51" customWidth="1"/>
    <col min="1794" max="1794" width="93.54296875" style="51" customWidth="1"/>
    <col min="1795" max="1795" width="16" style="51" customWidth="1"/>
    <col min="1796" max="1796" width="15.1796875" style="51" customWidth="1"/>
    <col min="1797" max="1797" width="3.1796875" style="51" customWidth="1"/>
    <col min="1798" max="1798" width="15.26953125" style="51" customWidth="1"/>
    <col min="1799" max="1799" width="14.54296875" style="51" customWidth="1"/>
    <col min="1800" max="1800" width="34.54296875" style="51" customWidth="1"/>
    <col min="1801" max="1801" width="15.7265625" style="51" customWidth="1"/>
    <col min="1802" max="1802" width="13.81640625" style="51" bestFit="1" customWidth="1"/>
    <col min="1803" max="1803" width="11.453125" style="51" customWidth="1"/>
    <col min="1804" max="1804" width="22" style="51" bestFit="1" customWidth="1"/>
    <col min="1805" max="2048" width="11.453125" style="51"/>
    <col min="2049" max="2049" width="4.26953125" style="51" customWidth="1"/>
    <col min="2050" max="2050" width="93.54296875" style="51" customWidth="1"/>
    <col min="2051" max="2051" width="16" style="51" customWidth="1"/>
    <col min="2052" max="2052" width="15.1796875" style="51" customWidth="1"/>
    <col min="2053" max="2053" width="3.1796875" style="51" customWidth="1"/>
    <col min="2054" max="2054" width="15.26953125" style="51" customWidth="1"/>
    <col min="2055" max="2055" width="14.54296875" style="51" customWidth="1"/>
    <col min="2056" max="2056" width="34.54296875" style="51" customWidth="1"/>
    <col min="2057" max="2057" width="15.7265625" style="51" customWidth="1"/>
    <col min="2058" max="2058" width="13.81640625" style="51" bestFit="1" customWidth="1"/>
    <col min="2059" max="2059" width="11.453125" style="51" customWidth="1"/>
    <col min="2060" max="2060" width="22" style="51" bestFit="1" customWidth="1"/>
    <col min="2061" max="2304" width="11.453125" style="51"/>
    <col min="2305" max="2305" width="4.26953125" style="51" customWidth="1"/>
    <col min="2306" max="2306" width="93.54296875" style="51" customWidth="1"/>
    <col min="2307" max="2307" width="16" style="51" customWidth="1"/>
    <col min="2308" max="2308" width="15.1796875" style="51" customWidth="1"/>
    <col min="2309" max="2309" width="3.1796875" style="51" customWidth="1"/>
    <col min="2310" max="2310" width="15.26953125" style="51" customWidth="1"/>
    <col min="2311" max="2311" width="14.54296875" style="51" customWidth="1"/>
    <col min="2312" max="2312" width="34.54296875" style="51" customWidth="1"/>
    <col min="2313" max="2313" width="15.7265625" style="51" customWidth="1"/>
    <col min="2314" max="2314" width="13.81640625" style="51" bestFit="1" customWidth="1"/>
    <col min="2315" max="2315" width="11.453125" style="51" customWidth="1"/>
    <col min="2316" max="2316" width="22" style="51" bestFit="1" customWidth="1"/>
    <col min="2317" max="2560" width="11.453125" style="51"/>
    <col min="2561" max="2561" width="4.26953125" style="51" customWidth="1"/>
    <col min="2562" max="2562" width="93.54296875" style="51" customWidth="1"/>
    <col min="2563" max="2563" width="16" style="51" customWidth="1"/>
    <col min="2564" max="2564" width="15.1796875" style="51" customWidth="1"/>
    <col min="2565" max="2565" width="3.1796875" style="51" customWidth="1"/>
    <col min="2566" max="2566" width="15.26953125" style="51" customWidth="1"/>
    <col min="2567" max="2567" width="14.54296875" style="51" customWidth="1"/>
    <col min="2568" max="2568" width="34.54296875" style="51" customWidth="1"/>
    <col min="2569" max="2569" width="15.7265625" style="51" customWidth="1"/>
    <col min="2570" max="2570" width="13.81640625" style="51" bestFit="1" customWidth="1"/>
    <col min="2571" max="2571" width="11.453125" style="51" customWidth="1"/>
    <col min="2572" max="2572" width="22" style="51" bestFit="1" customWidth="1"/>
    <col min="2573" max="2816" width="11.453125" style="51"/>
    <col min="2817" max="2817" width="4.26953125" style="51" customWidth="1"/>
    <col min="2818" max="2818" width="93.54296875" style="51" customWidth="1"/>
    <col min="2819" max="2819" width="16" style="51" customWidth="1"/>
    <col min="2820" max="2820" width="15.1796875" style="51" customWidth="1"/>
    <col min="2821" max="2821" width="3.1796875" style="51" customWidth="1"/>
    <col min="2822" max="2822" width="15.26953125" style="51" customWidth="1"/>
    <col min="2823" max="2823" width="14.54296875" style="51" customWidth="1"/>
    <col min="2824" max="2824" width="34.54296875" style="51" customWidth="1"/>
    <col min="2825" max="2825" width="15.7265625" style="51" customWidth="1"/>
    <col min="2826" max="2826" width="13.81640625" style="51" bestFit="1" customWidth="1"/>
    <col min="2827" max="2827" width="11.453125" style="51" customWidth="1"/>
    <col min="2828" max="2828" width="22" style="51" bestFit="1" customWidth="1"/>
    <col min="2829" max="3072" width="11.453125" style="51"/>
    <col min="3073" max="3073" width="4.26953125" style="51" customWidth="1"/>
    <col min="3074" max="3074" width="93.54296875" style="51" customWidth="1"/>
    <col min="3075" max="3075" width="16" style="51" customWidth="1"/>
    <col min="3076" max="3076" width="15.1796875" style="51" customWidth="1"/>
    <col min="3077" max="3077" width="3.1796875" style="51" customWidth="1"/>
    <col min="3078" max="3078" width="15.26953125" style="51" customWidth="1"/>
    <col min="3079" max="3079" width="14.54296875" style="51" customWidth="1"/>
    <col min="3080" max="3080" width="34.54296875" style="51" customWidth="1"/>
    <col min="3081" max="3081" width="15.7265625" style="51" customWidth="1"/>
    <col min="3082" max="3082" width="13.81640625" style="51" bestFit="1" customWidth="1"/>
    <col min="3083" max="3083" width="11.453125" style="51" customWidth="1"/>
    <col min="3084" max="3084" width="22" style="51" bestFit="1" customWidth="1"/>
    <col min="3085" max="3328" width="11.453125" style="51"/>
    <col min="3329" max="3329" width="4.26953125" style="51" customWidth="1"/>
    <col min="3330" max="3330" width="93.54296875" style="51" customWidth="1"/>
    <col min="3331" max="3331" width="16" style="51" customWidth="1"/>
    <col min="3332" max="3332" width="15.1796875" style="51" customWidth="1"/>
    <col min="3333" max="3333" width="3.1796875" style="51" customWidth="1"/>
    <col min="3334" max="3334" width="15.26953125" style="51" customWidth="1"/>
    <col min="3335" max="3335" width="14.54296875" style="51" customWidth="1"/>
    <col min="3336" max="3336" width="34.54296875" style="51" customWidth="1"/>
    <col min="3337" max="3337" width="15.7265625" style="51" customWidth="1"/>
    <col min="3338" max="3338" width="13.81640625" style="51" bestFit="1" customWidth="1"/>
    <col min="3339" max="3339" width="11.453125" style="51" customWidth="1"/>
    <col min="3340" max="3340" width="22" style="51" bestFit="1" customWidth="1"/>
    <col min="3341" max="3584" width="11.453125" style="51"/>
    <col min="3585" max="3585" width="4.26953125" style="51" customWidth="1"/>
    <col min="3586" max="3586" width="93.54296875" style="51" customWidth="1"/>
    <col min="3587" max="3587" width="16" style="51" customWidth="1"/>
    <col min="3588" max="3588" width="15.1796875" style="51" customWidth="1"/>
    <col min="3589" max="3589" width="3.1796875" style="51" customWidth="1"/>
    <col min="3590" max="3590" width="15.26953125" style="51" customWidth="1"/>
    <col min="3591" max="3591" width="14.54296875" style="51" customWidth="1"/>
    <col min="3592" max="3592" width="34.54296875" style="51" customWidth="1"/>
    <col min="3593" max="3593" width="15.7265625" style="51" customWidth="1"/>
    <col min="3594" max="3594" width="13.81640625" style="51" bestFit="1" customWidth="1"/>
    <col min="3595" max="3595" width="11.453125" style="51" customWidth="1"/>
    <col min="3596" max="3596" width="22" style="51" bestFit="1" customWidth="1"/>
    <col min="3597" max="3840" width="11.453125" style="51"/>
    <col min="3841" max="3841" width="4.26953125" style="51" customWidth="1"/>
    <col min="3842" max="3842" width="93.54296875" style="51" customWidth="1"/>
    <col min="3843" max="3843" width="16" style="51" customWidth="1"/>
    <col min="3844" max="3844" width="15.1796875" style="51" customWidth="1"/>
    <col min="3845" max="3845" width="3.1796875" style="51" customWidth="1"/>
    <col min="3846" max="3846" width="15.26953125" style="51" customWidth="1"/>
    <col min="3847" max="3847" width="14.54296875" style="51" customWidth="1"/>
    <col min="3848" max="3848" width="34.54296875" style="51" customWidth="1"/>
    <col min="3849" max="3849" width="15.7265625" style="51" customWidth="1"/>
    <col min="3850" max="3850" width="13.81640625" style="51" bestFit="1" customWidth="1"/>
    <col min="3851" max="3851" width="11.453125" style="51" customWidth="1"/>
    <col min="3852" max="3852" width="22" style="51" bestFit="1" customWidth="1"/>
    <col min="3853" max="4096" width="11.453125" style="51"/>
    <col min="4097" max="4097" width="4.26953125" style="51" customWidth="1"/>
    <col min="4098" max="4098" width="93.54296875" style="51" customWidth="1"/>
    <col min="4099" max="4099" width="16" style="51" customWidth="1"/>
    <col min="4100" max="4100" width="15.1796875" style="51" customWidth="1"/>
    <col min="4101" max="4101" width="3.1796875" style="51" customWidth="1"/>
    <col min="4102" max="4102" width="15.26953125" style="51" customWidth="1"/>
    <col min="4103" max="4103" width="14.54296875" style="51" customWidth="1"/>
    <col min="4104" max="4104" width="34.54296875" style="51" customWidth="1"/>
    <col min="4105" max="4105" width="15.7265625" style="51" customWidth="1"/>
    <col min="4106" max="4106" width="13.81640625" style="51" bestFit="1" customWidth="1"/>
    <col min="4107" max="4107" width="11.453125" style="51" customWidth="1"/>
    <col min="4108" max="4108" width="22" style="51" bestFit="1" customWidth="1"/>
    <col min="4109" max="4352" width="11.453125" style="51"/>
    <col min="4353" max="4353" width="4.26953125" style="51" customWidth="1"/>
    <col min="4354" max="4354" width="93.54296875" style="51" customWidth="1"/>
    <col min="4355" max="4355" width="16" style="51" customWidth="1"/>
    <col min="4356" max="4356" width="15.1796875" style="51" customWidth="1"/>
    <col min="4357" max="4357" width="3.1796875" style="51" customWidth="1"/>
    <col min="4358" max="4358" width="15.26953125" style="51" customWidth="1"/>
    <col min="4359" max="4359" width="14.54296875" style="51" customWidth="1"/>
    <col min="4360" max="4360" width="34.54296875" style="51" customWidth="1"/>
    <col min="4361" max="4361" width="15.7265625" style="51" customWidth="1"/>
    <col min="4362" max="4362" width="13.81640625" style="51" bestFit="1" customWidth="1"/>
    <col min="4363" max="4363" width="11.453125" style="51" customWidth="1"/>
    <col min="4364" max="4364" width="22" style="51" bestFit="1" customWidth="1"/>
    <col min="4365" max="4608" width="11.453125" style="51"/>
    <col min="4609" max="4609" width="4.26953125" style="51" customWidth="1"/>
    <col min="4610" max="4610" width="93.54296875" style="51" customWidth="1"/>
    <col min="4611" max="4611" width="16" style="51" customWidth="1"/>
    <col min="4612" max="4612" width="15.1796875" style="51" customWidth="1"/>
    <col min="4613" max="4613" width="3.1796875" style="51" customWidth="1"/>
    <col min="4614" max="4614" width="15.26953125" style="51" customWidth="1"/>
    <col min="4615" max="4615" width="14.54296875" style="51" customWidth="1"/>
    <col min="4616" max="4616" width="34.54296875" style="51" customWidth="1"/>
    <col min="4617" max="4617" width="15.7265625" style="51" customWidth="1"/>
    <col min="4618" max="4618" width="13.81640625" style="51" bestFit="1" customWidth="1"/>
    <col min="4619" max="4619" width="11.453125" style="51" customWidth="1"/>
    <col min="4620" max="4620" width="22" style="51" bestFit="1" customWidth="1"/>
    <col min="4621" max="4864" width="11.453125" style="51"/>
    <col min="4865" max="4865" width="4.26953125" style="51" customWidth="1"/>
    <col min="4866" max="4866" width="93.54296875" style="51" customWidth="1"/>
    <col min="4867" max="4867" width="16" style="51" customWidth="1"/>
    <col min="4868" max="4868" width="15.1796875" style="51" customWidth="1"/>
    <col min="4869" max="4869" width="3.1796875" style="51" customWidth="1"/>
    <col min="4870" max="4870" width="15.26953125" style="51" customWidth="1"/>
    <col min="4871" max="4871" width="14.54296875" style="51" customWidth="1"/>
    <col min="4872" max="4872" width="34.54296875" style="51" customWidth="1"/>
    <col min="4873" max="4873" width="15.7265625" style="51" customWidth="1"/>
    <col min="4874" max="4874" width="13.81640625" style="51" bestFit="1" customWidth="1"/>
    <col min="4875" max="4875" width="11.453125" style="51" customWidth="1"/>
    <col min="4876" max="4876" width="22" style="51" bestFit="1" customWidth="1"/>
    <col min="4877" max="5120" width="11.453125" style="51"/>
    <col min="5121" max="5121" width="4.26953125" style="51" customWidth="1"/>
    <col min="5122" max="5122" width="93.54296875" style="51" customWidth="1"/>
    <col min="5123" max="5123" width="16" style="51" customWidth="1"/>
    <col min="5124" max="5124" width="15.1796875" style="51" customWidth="1"/>
    <col min="5125" max="5125" width="3.1796875" style="51" customWidth="1"/>
    <col min="5126" max="5126" width="15.26953125" style="51" customWidth="1"/>
    <col min="5127" max="5127" width="14.54296875" style="51" customWidth="1"/>
    <col min="5128" max="5128" width="34.54296875" style="51" customWidth="1"/>
    <col min="5129" max="5129" width="15.7265625" style="51" customWidth="1"/>
    <col min="5130" max="5130" width="13.81640625" style="51" bestFit="1" customWidth="1"/>
    <col min="5131" max="5131" width="11.453125" style="51" customWidth="1"/>
    <col min="5132" max="5132" width="22" style="51" bestFit="1" customWidth="1"/>
    <col min="5133" max="5376" width="11.453125" style="51"/>
    <col min="5377" max="5377" width="4.26953125" style="51" customWidth="1"/>
    <col min="5378" max="5378" width="93.54296875" style="51" customWidth="1"/>
    <col min="5379" max="5379" width="16" style="51" customWidth="1"/>
    <col min="5380" max="5380" width="15.1796875" style="51" customWidth="1"/>
    <col min="5381" max="5381" width="3.1796875" style="51" customWidth="1"/>
    <col min="5382" max="5382" width="15.26953125" style="51" customWidth="1"/>
    <col min="5383" max="5383" width="14.54296875" style="51" customWidth="1"/>
    <col min="5384" max="5384" width="34.54296875" style="51" customWidth="1"/>
    <col min="5385" max="5385" width="15.7265625" style="51" customWidth="1"/>
    <col min="5386" max="5386" width="13.81640625" style="51" bestFit="1" customWidth="1"/>
    <col min="5387" max="5387" width="11.453125" style="51" customWidth="1"/>
    <col min="5388" max="5388" width="22" style="51" bestFit="1" customWidth="1"/>
    <col min="5389" max="5632" width="11.453125" style="51"/>
    <col min="5633" max="5633" width="4.26953125" style="51" customWidth="1"/>
    <col min="5634" max="5634" width="93.54296875" style="51" customWidth="1"/>
    <col min="5635" max="5635" width="16" style="51" customWidth="1"/>
    <col min="5636" max="5636" width="15.1796875" style="51" customWidth="1"/>
    <col min="5637" max="5637" width="3.1796875" style="51" customWidth="1"/>
    <col min="5638" max="5638" width="15.26953125" style="51" customWidth="1"/>
    <col min="5639" max="5639" width="14.54296875" style="51" customWidth="1"/>
    <col min="5640" max="5640" width="34.54296875" style="51" customWidth="1"/>
    <col min="5641" max="5641" width="15.7265625" style="51" customWidth="1"/>
    <col min="5642" max="5642" width="13.81640625" style="51" bestFit="1" customWidth="1"/>
    <col min="5643" max="5643" width="11.453125" style="51" customWidth="1"/>
    <col min="5644" max="5644" width="22" style="51" bestFit="1" customWidth="1"/>
    <col min="5645" max="5888" width="11.453125" style="51"/>
    <col min="5889" max="5889" width="4.26953125" style="51" customWidth="1"/>
    <col min="5890" max="5890" width="93.54296875" style="51" customWidth="1"/>
    <col min="5891" max="5891" width="16" style="51" customWidth="1"/>
    <col min="5892" max="5892" width="15.1796875" style="51" customWidth="1"/>
    <col min="5893" max="5893" width="3.1796875" style="51" customWidth="1"/>
    <col min="5894" max="5894" width="15.26953125" style="51" customWidth="1"/>
    <col min="5895" max="5895" width="14.54296875" style="51" customWidth="1"/>
    <col min="5896" max="5896" width="34.54296875" style="51" customWidth="1"/>
    <col min="5897" max="5897" width="15.7265625" style="51" customWidth="1"/>
    <col min="5898" max="5898" width="13.81640625" style="51" bestFit="1" customWidth="1"/>
    <col min="5899" max="5899" width="11.453125" style="51" customWidth="1"/>
    <col min="5900" max="5900" width="22" style="51" bestFit="1" customWidth="1"/>
    <col min="5901" max="6144" width="11.453125" style="51"/>
    <col min="6145" max="6145" width="4.26953125" style="51" customWidth="1"/>
    <col min="6146" max="6146" width="93.54296875" style="51" customWidth="1"/>
    <col min="6147" max="6147" width="16" style="51" customWidth="1"/>
    <col min="6148" max="6148" width="15.1796875" style="51" customWidth="1"/>
    <col min="6149" max="6149" width="3.1796875" style="51" customWidth="1"/>
    <col min="6150" max="6150" width="15.26953125" style="51" customWidth="1"/>
    <col min="6151" max="6151" width="14.54296875" style="51" customWidth="1"/>
    <col min="6152" max="6152" width="34.54296875" style="51" customWidth="1"/>
    <col min="6153" max="6153" width="15.7265625" style="51" customWidth="1"/>
    <col min="6154" max="6154" width="13.81640625" style="51" bestFit="1" customWidth="1"/>
    <col min="6155" max="6155" width="11.453125" style="51" customWidth="1"/>
    <col min="6156" max="6156" width="22" style="51" bestFit="1" customWidth="1"/>
    <col min="6157" max="6400" width="11.453125" style="51"/>
    <col min="6401" max="6401" width="4.26953125" style="51" customWidth="1"/>
    <col min="6402" max="6402" width="93.54296875" style="51" customWidth="1"/>
    <col min="6403" max="6403" width="16" style="51" customWidth="1"/>
    <col min="6404" max="6404" width="15.1796875" style="51" customWidth="1"/>
    <col min="6405" max="6405" width="3.1796875" style="51" customWidth="1"/>
    <col min="6406" max="6406" width="15.26953125" style="51" customWidth="1"/>
    <col min="6407" max="6407" width="14.54296875" style="51" customWidth="1"/>
    <col min="6408" max="6408" width="34.54296875" style="51" customWidth="1"/>
    <col min="6409" max="6409" width="15.7265625" style="51" customWidth="1"/>
    <col min="6410" max="6410" width="13.81640625" style="51" bestFit="1" customWidth="1"/>
    <col min="6411" max="6411" width="11.453125" style="51" customWidth="1"/>
    <col min="6412" max="6412" width="22" style="51" bestFit="1" customWidth="1"/>
    <col min="6413" max="6656" width="11.453125" style="51"/>
    <col min="6657" max="6657" width="4.26953125" style="51" customWidth="1"/>
    <col min="6658" max="6658" width="93.54296875" style="51" customWidth="1"/>
    <col min="6659" max="6659" width="16" style="51" customWidth="1"/>
    <col min="6660" max="6660" width="15.1796875" style="51" customWidth="1"/>
    <col min="6661" max="6661" width="3.1796875" style="51" customWidth="1"/>
    <col min="6662" max="6662" width="15.26953125" style="51" customWidth="1"/>
    <col min="6663" max="6663" width="14.54296875" style="51" customWidth="1"/>
    <col min="6664" max="6664" width="34.54296875" style="51" customWidth="1"/>
    <col min="6665" max="6665" width="15.7265625" style="51" customWidth="1"/>
    <col min="6666" max="6666" width="13.81640625" style="51" bestFit="1" customWidth="1"/>
    <col min="6667" max="6667" width="11.453125" style="51" customWidth="1"/>
    <col min="6668" max="6668" width="22" style="51" bestFit="1" customWidth="1"/>
    <col min="6669" max="6912" width="11.453125" style="51"/>
    <col min="6913" max="6913" width="4.26953125" style="51" customWidth="1"/>
    <col min="6914" max="6914" width="93.54296875" style="51" customWidth="1"/>
    <col min="6915" max="6915" width="16" style="51" customWidth="1"/>
    <col min="6916" max="6916" width="15.1796875" style="51" customWidth="1"/>
    <col min="6917" max="6917" width="3.1796875" style="51" customWidth="1"/>
    <col min="6918" max="6918" width="15.26953125" style="51" customWidth="1"/>
    <col min="6919" max="6919" width="14.54296875" style="51" customWidth="1"/>
    <col min="6920" max="6920" width="34.54296875" style="51" customWidth="1"/>
    <col min="6921" max="6921" width="15.7265625" style="51" customWidth="1"/>
    <col min="6922" max="6922" width="13.81640625" style="51" bestFit="1" customWidth="1"/>
    <col min="6923" max="6923" width="11.453125" style="51" customWidth="1"/>
    <col min="6924" max="6924" width="22" style="51" bestFit="1" customWidth="1"/>
    <col min="6925" max="7168" width="11.453125" style="51"/>
    <col min="7169" max="7169" width="4.26953125" style="51" customWidth="1"/>
    <col min="7170" max="7170" width="93.54296875" style="51" customWidth="1"/>
    <col min="7171" max="7171" width="16" style="51" customWidth="1"/>
    <col min="7172" max="7172" width="15.1796875" style="51" customWidth="1"/>
    <col min="7173" max="7173" width="3.1796875" style="51" customWidth="1"/>
    <col min="7174" max="7174" width="15.26953125" style="51" customWidth="1"/>
    <col min="7175" max="7175" width="14.54296875" style="51" customWidth="1"/>
    <col min="7176" max="7176" width="34.54296875" style="51" customWidth="1"/>
    <col min="7177" max="7177" width="15.7265625" style="51" customWidth="1"/>
    <col min="7178" max="7178" width="13.81640625" style="51" bestFit="1" customWidth="1"/>
    <col min="7179" max="7179" width="11.453125" style="51" customWidth="1"/>
    <col min="7180" max="7180" width="22" style="51" bestFit="1" customWidth="1"/>
    <col min="7181" max="7424" width="11.453125" style="51"/>
    <col min="7425" max="7425" width="4.26953125" style="51" customWidth="1"/>
    <col min="7426" max="7426" width="93.54296875" style="51" customWidth="1"/>
    <col min="7427" max="7427" width="16" style="51" customWidth="1"/>
    <col min="7428" max="7428" width="15.1796875" style="51" customWidth="1"/>
    <col min="7429" max="7429" width="3.1796875" style="51" customWidth="1"/>
    <col min="7430" max="7430" width="15.26953125" style="51" customWidth="1"/>
    <col min="7431" max="7431" width="14.54296875" style="51" customWidth="1"/>
    <col min="7432" max="7432" width="34.54296875" style="51" customWidth="1"/>
    <col min="7433" max="7433" width="15.7265625" style="51" customWidth="1"/>
    <col min="7434" max="7434" width="13.81640625" style="51" bestFit="1" customWidth="1"/>
    <col min="7435" max="7435" width="11.453125" style="51" customWidth="1"/>
    <col min="7436" max="7436" width="22" style="51" bestFit="1" customWidth="1"/>
    <col min="7437" max="7680" width="11.453125" style="51"/>
    <col min="7681" max="7681" width="4.26953125" style="51" customWidth="1"/>
    <col min="7682" max="7682" width="93.54296875" style="51" customWidth="1"/>
    <col min="7683" max="7683" width="16" style="51" customWidth="1"/>
    <col min="7684" max="7684" width="15.1796875" style="51" customWidth="1"/>
    <col min="7685" max="7685" width="3.1796875" style="51" customWidth="1"/>
    <col min="7686" max="7686" width="15.26953125" style="51" customWidth="1"/>
    <col min="7687" max="7687" width="14.54296875" style="51" customWidth="1"/>
    <col min="7688" max="7688" width="34.54296875" style="51" customWidth="1"/>
    <col min="7689" max="7689" width="15.7265625" style="51" customWidth="1"/>
    <col min="7690" max="7690" width="13.81640625" style="51" bestFit="1" customWidth="1"/>
    <col min="7691" max="7691" width="11.453125" style="51" customWidth="1"/>
    <col min="7692" max="7692" width="22" style="51" bestFit="1" customWidth="1"/>
    <col min="7693" max="7936" width="11.453125" style="51"/>
    <col min="7937" max="7937" width="4.26953125" style="51" customWidth="1"/>
    <col min="7938" max="7938" width="93.54296875" style="51" customWidth="1"/>
    <col min="7939" max="7939" width="16" style="51" customWidth="1"/>
    <col min="7940" max="7940" width="15.1796875" style="51" customWidth="1"/>
    <col min="7941" max="7941" width="3.1796875" style="51" customWidth="1"/>
    <col min="7942" max="7942" width="15.26953125" style="51" customWidth="1"/>
    <col min="7943" max="7943" width="14.54296875" style="51" customWidth="1"/>
    <col min="7944" max="7944" width="34.54296875" style="51" customWidth="1"/>
    <col min="7945" max="7945" width="15.7265625" style="51" customWidth="1"/>
    <col min="7946" max="7946" width="13.81640625" style="51" bestFit="1" customWidth="1"/>
    <col min="7947" max="7947" width="11.453125" style="51" customWidth="1"/>
    <col min="7948" max="7948" width="22" style="51" bestFit="1" customWidth="1"/>
    <col min="7949" max="8192" width="11.453125" style="51"/>
    <col min="8193" max="8193" width="4.26953125" style="51" customWidth="1"/>
    <col min="8194" max="8194" width="93.54296875" style="51" customWidth="1"/>
    <col min="8195" max="8195" width="16" style="51" customWidth="1"/>
    <col min="8196" max="8196" width="15.1796875" style="51" customWidth="1"/>
    <col min="8197" max="8197" width="3.1796875" style="51" customWidth="1"/>
    <col min="8198" max="8198" width="15.26953125" style="51" customWidth="1"/>
    <col min="8199" max="8199" width="14.54296875" style="51" customWidth="1"/>
    <col min="8200" max="8200" width="34.54296875" style="51" customWidth="1"/>
    <col min="8201" max="8201" width="15.7265625" style="51" customWidth="1"/>
    <col min="8202" max="8202" width="13.81640625" style="51" bestFit="1" customWidth="1"/>
    <col min="8203" max="8203" width="11.453125" style="51" customWidth="1"/>
    <col min="8204" max="8204" width="22" style="51" bestFit="1" customWidth="1"/>
    <col min="8205" max="8448" width="11.453125" style="51"/>
    <col min="8449" max="8449" width="4.26953125" style="51" customWidth="1"/>
    <col min="8450" max="8450" width="93.54296875" style="51" customWidth="1"/>
    <col min="8451" max="8451" width="16" style="51" customWidth="1"/>
    <col min="8452" max="8452" width="15.1796875" style="51" customWidth="1"/>
    <col min="8453" max="8453" width="3.1796875" style="51" customWidth="1"/>
    <col min="8454" max="8454" width="15.26953125" style="51" customWidth="1"/>
    <col min="8455" max="8455" width="14.54296875" style="51" customWidth="1"/>
    <col min="8456" max="8456" width="34.54296875" style="51" customWidth="1"/>
    <col min="8457" max="8457" width="15.7265625" style="51" customWidth="1"/>
    <col min="8458" max="8458" width="13.81640625" style="51" bestFit="1" customWidth="1"/>
    <col min="8459" max="8459" width="11.453125" style="51" customWidth="1"/>
    <col min="8460" max="8460" width="22" style="51" bestFit="1" customWidth="1"/>
    <col min="8461" max="8704" width="11.453125" style="51"/>
    <col min="8705" max="8705" width="4.26953125" style="51" customWidth="1"/>
    <col min="8706" max="8706" width="93.54296875" style="51" customWidth="1"/>
    <col min="8707" max="8707" width="16" style="51" customWidth="1"/>
    <col min="8708" max="8708" width="15.1796875" style="51" customWidth="1"/>
    <col min="8709" max="8709" width="3.1796875" style="51" customWidth="1"/>
    <col min="8710" max="8710" width="15.26953125" style="51" customWidth="1"/>
    <col min="8711" max="8711" width="14.54296875" style="51" customWidth="1"/>
    <col min="8712" max="8712" width="34.54296875" style="51" customWidth="1"/>
    <col min="8713" max="8713" width="15.7265625" style="51" customWidth="1"/>
    <col min="8714" max="8714" width="13.81640625" style="51" bestFit="1" customWidth="1"/>
    <col min="8715" max="8715" width="11.453125" style="51" customWidth="1"/>
    <col min="8716" max="8716" width="22" style="51" bestFit="1" customWidth="1"/>
    <col min="8717" max="8960" width="11.453125" style="51"/>
    <col min="8961" max="8961" width="4.26953125" style="51" customWidth="1"/>
    <col min="8962" max="8962" width="93.54296875" style="51" customWidth="1"/>
    <col min="8963" max="8963" width="16" style="51" customWidth="1"/>
    <col min="8964" max="8964" width="15.1796875" style="51" customWidth="1"/>
    <col min="8965" max="8965" width="3.1796875" style="51" customWidth="1"/>
    <col min="8966" max="8966" width="15.26953125" style="51" customWidth="1"/>
    <col min="8967" max="8967" width="14.54296875" style="51" customWidth="1"/>
    <col min="8968" max="8968" width="34.54296875" style="51" customWidth="1"/>
    <col min="8969" max="8969" width="15.7265625" style="51" customWidth="1"/>
    <col min="8970" max="8970" width="13.81640625" style="51" bestFit="1" customWidth="1"/>
    <col min="8971" max="8971" width="11.453125" style="51" customWidth="1"/>
    <col min="8972" max="8972" width="22" style="51" bestFit="1" customWidth="1"/>
    <col min="8973" max="9216" width="11.453125" style="51"/>
    <col min="9217" max="9217" width="4.26953125" style="51" customWidth="1"/>
    <col min="9218" max="9218" width="93.54296875" style="51" customWidth="1"/>
    <col min="9219" max="9219" width="16" style="51" customWidth="1"/>
    <col min="9220" max="9220" width="15.1796875" style="51" customWidth="1"/>
    <col min="9221" max="9221" width="3.1796875" style="51" customWidth="1"/>
    <col min="9222" max="9222" width="15.26953125" style="51" customWidth="1"/>
    <col min="9223" max="9223" width="14.54296875" style="51" customWidth="1"/>
    <col min="9224" max="9224" width="34.54296875" style="51" customWidth="1"/>
    <col min="9225" max="9225" width="15.7265625" style="51" customWidth="1"/>
    <col min="9226" max="9226" width="13.81640625" style="51" bestFit="1" customWidth="1"/>
    <col min="9227" max="9227" width="11.453125" style="51" customWidth="1"/>
    <col min="9228" max="9228" width="22" style="51" bestFit="1" customWidth="1"/>
    <col min="9229" max="9472" width="11.453125" style="51"/>
    <col min="9473" max="9473" width="4.26953125" style="51" customWidth="1"/>
    <col min="9474" max="9474" width="93.54296875" style="51" customWidth="1"/>
    <col min="9475" max="9475" width="16" style="51" customWidth="1"/>
    <col min="9476" max="9476" width="15.1796875" style="51" customWidth="1"/>
    <col min="9477" max="9477" width="3.1796875" style="51" customWidth="1"/>
    <col min="9478" max="9478" width="15.26953125" style="51" customWidth="1"/>
    <col min="9479" max="9479" width="14.54296875" style="51" customWidth="1"/>
    <col min="9480" max="9480" width="34.54296875" style="51" customWidth="1"/>
    <col min="9481" max="9481" width="15.7265625" style="51" customWidth="1"/>
    <col min="9482" max="9482" width="13.81640625" style="51" bestFit="1" customWidth="1"/>
    <col min="9483" max="9483" width="11.453125" style="51" customWidth="1"/>
    <col min="9484" max="9484" width="22" style="51" bestFit="1" customWidth="1"/>
    <col min="9485" max="9728" width="11.453125" style="51"/>
    <col min="9729" max="9729" width="4.26953125" style="51" customWidth="1"/>
    <col min="9730" max="9730" width="93.54296875" style="51" customWidth="1"/>
    <col min="9731" max="9731" width="16" style="51" customWidth="1"/>
    <col min="9732" max="9732" width="15.1796875" style="51" customWidth="1"/>
    <col min="9733" max="9733" width="3.1796875" style="51" customWidth="1"/>
    <col min="9734" max="9734" width="15.26953125" style="51" customWidth="1"/>
    <col min="9735" max="9735" width="14.54296875" style="51" customWidth="1"/>
    <col min="9736" max="9736" width="34.54296875" style="51" customWidth="1"/>
    <col min="9737" max="9737" width="15.7265625" style="51" customWidth="1"/>
    <col min="9738" max="9738" width="13.81640625" style="51" bestFit="1" customWidth="1"/>
    <col min="9739" max="9739" width="11.453125" style="51" customWidth="1"/>
    <col min="9740" max="9740" width="22" style="51" bestFit="1" customWidth="1"/>
    <col min="9741" max="9984" width="11.453125" style="51"/>
    <col min="9985" max="9985" width="4.26953125" style="51" customWidth="1"/>
    <col min="9986" max="9986" width="93.54296875" style="51" customWidth="1"/>
    <col min="9987" max="9987" width="16" style="51" customWidth="1"/>
    <col min="9988" max="9988" width="15.1796875" style="51" customWidth="1"/>
    <col min="9989" max="9989" width="3.1796875" style="51" customWidth="1"/>
    <col min="9990" max="9990" width="15.26953125" style="51" customWidth="1"/>
    <col min="9991" max="9991" width="14.54296875" style="51" customWidth="1"/>
    <col min="9992" max="9992" width="34.54296875" style="51" customWidth="1"/>
    <col min="9993" max="9993" width="15.7265625" style="51" customWidth="1"/>
    <col min="9994" max="9994" width="13.81640625" style="51" bestFit="1" customWidth="1"/>
    <col min="9995" max="9995" width="11.453125" style="51" customWidth="1"/>
    <col min="9996" max="9996" width="22" style="51" bestFit="1" customWidth="1"/>
    <col min="9997" max="10240" width="11.453125" style="51"/>
    <col min="10241" max="10241" width="4.26953125" style="51" customWidth="1"/>
    <col min="10242" max="10242" width="93.54296875" style="51" customWidth="1"/>
    <col min="10243" max="10243" width="16" style="51" customWidth="1"/>
    <col min="10244" max="10244" width="15.1796875" style="51" customWidth="1"/>
    <col min="10245" max="10245" width="3.1796875" style="51" customWidth="1"/>
    <col min="10246" max="10246" width="15.26953125" style="51" customWidth="1"/>
    <col min="10247" max="10247" width="14.54296875" style="51" customWidth="1"/>
    <col min="10248" max="10248" width="34.54296875" style="51" customWidth="1"/>
    <col min="10249" max="10249" width="15.7265625" style="51" customWidth="1"/>
    <col min="10250" max="10250" width="13.81640625" style="51" bestFit="1" customWidth="1"/>
    <col min="10251" max="10251" width="11.453125" style="51" customWidth="1"/>
    <col min="10252" max="10252" width="22" style="51" bestFit="1" customWidth="1"/>
    <col min="10253" max="10496" width="11.453125" style="51"/>
    <col min="10497" max="10497" width="4.26953125" style="51" customWidth="1"/>
    <col min="10498" max="10498" width="93.54296875" style="51" customWidth="1"/>
    <col min="10499" max="10499" width="16" style="51" customWidth="1"/>
    <col min="10500" max="10500" width="15.1796875" style="51" customWidth="1"/>
    <col min="10501" max="10501" width="3.1796875" style="51" customWidth="1"/>
    <col min="10502" max="10502" width="15.26953125" style="51" customWidth="1"/>
    <col min="10503" max="10503" width="14.54296875" style="51" customWidth="1"/>
    <col min="10504" max="10504" width="34.54296875" style="51" customWidth="1"/>
    <col min="10505" max="10505" width="15.7265625" style="51" customWidth="1"/>
    <col min="10506" max="10506" width="13.81640625" style="51" bestFit="1" customWidth="1"/>
    <col min="10507" max="10507" width="11.453125" style="51" customWidth="1"/>
    <col min="10508" max="10508" width="22" style="51" bestFit="1" customWidth="1"/>
    <col min="10509" max="10752" width="11.453125" style="51"/>
    <col min="10753" max="10753" width="4.26953125" style="51" customWidth="1"/>
    <col min="10754" max="10754" width="93.54296875" style="51" customWidth="1"/>
    <col min="10755" max="10755" width="16" style="51" customWidth="1"/>
    <col min="10756" max="10756" width="15.1796875" style="51" customWidth="1"/>
    <col min="10757" max="10757" width="3.1796875" style="51" customWidth="1"/>
    <col min="10758" max="10758" width="15.26953125" style="51" customWidth="1"/>
    <col min="10759" max="10759" width="14.54296875" style="51" customWidth="1"/>
    <col min="10760" max="10760" width="34.54296875" style="51" customWidth="1"/>
    <col min="10761" max="10761" width="15.7265625" style="51" customWidth="1"/>
    <col min="10762" max="10762" width="13.81640625" style="51" bestFit="1" customWidth="1"/>
    <col min="10763" max="10763" width="11.453125" style="51" customWidth="1"/>
    <col min="10764" max="10764" width="22" style="51" bestFit="1" customWidth="1"/>
    <col min="10765" max="11008" width="11.453125" style="51"/>
    <col min="11009" max="11009" width="4.26953125" style="51" customWidth="1"/>
    <col min="11010" max="11010" width="93.54296875" style="51" customWidth="1"/>
    <col min="11011" max="11011" width="16" style="51" customWidth="1"/>
    <col min="11012" max="11012" width="15.1796875" style="51" customWidth="1"/>
    <col min="11013" max="11013" width="3.1796875" style="51" customWidth="1"/>
    <col min="11014" max="11014" width="15.26953125" style="51" customWidth="1"/>
    <col min="11015" max="11015" width="14.54296875" style="51" customWidth="1"/>
    <col min="11016" max="11016" width="34.54296875" style="51" customWidth="1"/>
    <col min="11017" max="11017" width="15.7265625" style="51" customWidth="1"/>
    <col min="11018" max="11018" width="13.81640625" style="51" bestFit="1" customWidth="1"/>
    <col min="11019" max="11019" width="11.453125" style="51" customWidth="1"/>
    <col min="11020" max="11020" width="22" style="51" bestFit="1" customWidth="1"/>
    <col min="11021" max="11264" width="11.453125" style="51"/>
    <col min="11265" max="11265" width="4.26953125" style="51" customWidth="1"/>
    <col min="11266" max="11266" width="93.54296875" style="51" customWidth="1"/>
    <col min="11267" max="11267" width="16" style="51" customWidth="1"/>
    <col min="11268" max="11268" width="15.1796875" style="51" customWidth="1"/>
    <col min="11269" max="11269" width="3.1796875" style="51" customWidth="1"/>
    <col min="11270" max="11270" width="15.26953125" style="51" customWidth="1"/>
    <col min="11271" max="11271" width="14.54296875" style="51" customWidth="1"/>
    <col min="11272" max="11272" width="34.54296875" style="51" customWidth="1"/>
    <col min="11273" max="11273" width="15.7265625" style="51" customWidth="1"/>
    <col min="11274" max="11274" width="13.81640625" style="51" bestFit="1" customWidth="1"/>
    <col min="11275" max="11275" width="11.453125" style="51" customWidth="1"/>
    <col min="11276" max="11276" width="22" style="51" bestFit="1" customWidth="1"/>
    <col min="11277" max="11520" width="11.453125" style="51"/>
    <col min="11521" max="11521" width="4.26953125" style="51" customWidth="1"/>
    <col min="11522" max="11522" width="93.54296875" style="51" customWidth="1"/>
    <col min="11523" max="11523" width="16" style="51" customWidth="1"/>
    <col min="11524" max="11524" width="15.1796875" style="51" customWidth="1"/>
    <col min="11525" max="11525" width="3.1796875" style="51" customWidth="1"/>
    <col min="11526" max="11526" width="15.26953125" style="51" customWidth="1"/>
    <col min="11527" max="11527" width="14.54296875" style="51" customWidth="1"/>
    <col min="11528" max="11528" width="34.54296875" style="51" customWidth="1"/>
    <col min="11529" max="11529" width="15.7265625" style="51" customWidth="1"/>
    <col min="11530" max="11530" width="13.81640625" style="51" bestFit="1" customWidth="1"/>
    <col min="11531" max="11531" width="11.453125" style="51" customWidth="1"/>
    <col min="11532" max="11532" width="22" style="51" bestFit="1" customWidth="1"/>
    <col min="11533" max="11776" width="11.453125" style="51"/>
    <col min="11777" max="11777" width="4.26953125" style="51" customWidth="1"/>
    <col min="11778" max="11778" width="93.54296875" style="51" customWidth="1"/>
    <col min="11779" max="11779" width="16" style="51" customWidth="1"/>
    <col min="11780" max="11780" width="15.1796875" style="51" customWidth="1"/>
    <col min="11781" max="11781" width="3.1796875" style="51" customWidth="1"/>
    <col min="11782" max="11782" width="15.26953125" style="51" customWidth="1"/>
    <col min="11783" max="11783" width="14.54296875" style="51" customWidth="1"/>
    <col min="11784" max="11784" width="34.54296875" style="51" customWidth="1"/>
    <col min="11785" max="11785" width="15.7265625" style="51" customWidth="1"/>
    <col min="11786" max="11786" width="13.81640625" style="51" bestFit="1" customWidth="1"/>
    <col min="11787" max="11787" width="11.453125" style="51" customWidth="1"/>
    <col min="11788" max="11788" width="22" style="51" bestFit="1" customWidth="1"/>
    <col min="11789" max="12032" width="11.453125" style="51"/>
    <col min="12033" max="12033" width="4.26953125" style="51" customWidth="1"/>
    <col min="12034" max="12034" width="93.54296875" style="51" customWidth="1"/>
    <col min="12035" max="12035" width="16" style="51" customWidth="1"/>
    <col min="12036" max="12036" width="15.1796875" style="51" customWidth="1"/>
    <col min="12037" max="12037" width="3.1796875" style="51" customWidth="1"/>
    <col min="12038" max="12038" width="15.26953125" style="51" customWidth="1"/>
    <col min="12039" max="12039" width="14.54296875" style="51" customWidth="1"/>
    <col min="12040" max="12040" width="34.54296875" style="51" customWidth="1"/>
    <col min="12041" max="12041" width="15.7265625" style="51" customWidth="1"/>
    <col min="12042" max="12042" width="13.81640625" style="51" bestFit="1" customWidth="1"/>
    <col min="12043" max="12043" width="11.453125" style="51" customWidth="1"/>
    <col min="12044" max="12044" width="22" style="51" bestFit="1" customWidth="1"/>
    <col min="12045" max="12288" width="11.453125" style="51"/>
    <col min="12289" max="12289" width="4.26953125" style="51" customWidth="1"/>
    <col min="12290" max="12290" width="93.54296875" style="51" customWidth="1"/>
    <col min="12291" max="12291" width="16" style="51" customWidth="1"/>
    <col min="12292" max="12292" width="15.1796875" style="51" customWidth="1"/>
    <col min="12293" max="12293" width="3.1796875" style="51" customWidth="1"/>
    <col min="12294" max="12294" width="15.26953125" style="51" customWidth="1"/>
    <col min="12295" max="12295" width="14.54296875" style="51" customWidth="1"/>
    <col min="12296" max="12296" width="34.54296875" style="51" customWidth="1"/>
    <col min="12297" max="12297" width="15.7265625" style="51" customWidth="1"/>
    <col min="12298" max="12298" width="13.81640625" style="51" bestFit="1" customWidth="1"/>
    <col min="12299" max="12299" width="11.453125" style="51" customWidth="1"/>
    <col min="12300" max="12300" width="22" style="51" bestFit="1" customWidth="1"/>
    <col min="12301" max="12544" width="11.453125" style="51"/>
    <col min="12545" max="12545" width="4.26953125" style="51" customWidth="1"/>
    <col min="12546" max="12546" width="93.54296875" style="51" customWidth="1"/>
    <col min="12547" max="12547" width="16" style="51" customWidth="1"/>
    <col min="12548" max="12548" width="15.1796875" style="51" customWidth="1"/>
    <col min="12549" max="12549" width="3.1796875" style="51" customWidth="1"/>
    <col min="12550" max="12550" width="15.26953125" style="51" customWidth="1"/>
    <col min="12551" max="12551" width="14.54296875" style="51" customWidth="1"/>
    <col min="12552" max="12552" width="34.54296875" style="51" customWidth="1"/>
    <col min="12553" max="12553" width="15.7265625" style="51" customWidth="1"/>
    <col min="12554" max="12554" width="13.81640625" style="51" bestFit="1" customWidth="1"/>
    <col min="12555" max="12555" width="11.453125" style="51" customWidth="1"/>
    <col min="12556" max="12556" width="22" style="51" bestFit="1" customWidth="1"/>
    <col min="12557" max="12800" width="11.453125" style="51"/>
    <col min="12801" max="12801" width="4.26953125" style="51" customWidth="1"/>
    <col min="12802" max="12802" width="93.54296875" style="51" customWidth="1"/>
    <col min="12803" max="12803" width="16" style="51" customWidth="1"/>
    <col min="12804" max="12804" width="15.1796875" style="51" customWidth="1"/>
    <col min="12805" max="12805" width="3.1796875" style="51" customWidth="1"/>
    <col min="12806" max="12806" width="15.26953125" style="51" customWidth="1"/>
    <col min="12807" max="12807" width="14.54296875" style="51" customWidth="1"/>
    <col min="12808" max="12808" width="34.54296875" style="51" customWidth="1"/>
    <col min="12809" max="12809" width="15.7265625" style="51" customWidth="1"/>
    <col min="12810" max="12810" width="13.81640625" style="51" bestFit="1" customWidth="1"/>
    <col min="12811" max="12811" width="11.453125" style="51" customWidth="1"/>
    <col min="12812" max="12812" width="22" style="51" bestFit="1" customWidth="1"/>
    <col min="12813" max="13056" width="11.453125" style="51"/>
    <col min="13057" max="13057" width="4.26953125" style="51" customWidth="1"/>
    <col min="13058" max="13058" width="93.54296875" style="51" customWidth="1"/>
    <col min="13059" max="13059" width="16" style="51" customWidth="1"/>
    <col min="13060" max="13060" width="15.1796875" style="51" customWidth="1"/>
    <col min="13061" max="13061" width="3.1796875" style="51" customWidth="1"/>
    <col min="13062" max="13062" width="15.26953125" style="51" customWidth="1"/>
    <col min="13063" max="13063" width="14.54296875" style="51" customWidth="1"/>
    <col min="13064" max="13064" width="34.54296875" style="51" customWidth="1"/>
    <col min="13065" max="13065" width="15.7265625" style="51" customWidth="1"/>
    <col min="13066" max="13066" width="13.81640625" style="51" bestFit="1" customWidth="1"/>
    <col min="13067" max="13067" width="11.453125" style="51" customWidth="1"/>
    <col min="13068" max="13068" width="22" style="51" bestFit="1" customWidth="1"/>
    <col min="13069" max="13312" width="11.453125" style="51"/>
    <col min="13313" max="13313" width="4.26953125" style="51" customWidth="1"/>
    <col min="13314" max="13314" width="93.54296875" style="51" customWidth="1"/>
    <col min="13315" max="13315" width="16" style="51" customWidth="1"/>
    <col min="13316" max="13316" width="15.1796875" style="51" customWidth="1"/>
    <col min="13317" max="13317" width="3.1796875" style="51" customWidth="1"/>
    <col min="13318" max="13318" width="15.26953125" style="51" customWidth="1"/>
    <col min="13319" max="13319" width="14.54296875" style="51" customWidth="1"/>
    <col min="13320" max="13320" width="34.54296875" style="51" customWidth="1"/>
    <col min="13321" max="13321" width="15.7265625" style="51" customWidth="1"/>
    <col min="13322" max="13322" width="13.81640625" style="51" bestFit="1" customWidth="1"/>
    <col min="13323" max="13323" width="11.453125" style="51" customWidth="1"/>
    <col min="13324" max="13324" width="22" style="51" bestFit="1" customWidth="1"/>
    <col min="13325" max="13568" width="11.453125" style="51"/>
    <col min="13569" max="13569" width="4.26953125" style="51" customWidth="1"/>
    <col min="13570" max="13570" width="93.54296875" style="51" customWidth="1"/>
    <col min="13571" max="13571" width="16" style="51" customWidth="1"/>
    <col min="13572" max="13572" width="15.1796875" style="51" customWidth="1"/>
    <col min="13573" max="13573" width="3.1796875" style="51" customWidth="1"/>
    <col min="13574" max="13574" width="15.26953125" style="51" customWidth="1"/>
    <col min="13575" max="13575" width="14.54296875" style="51" customWidth="1"/>
    <col min="13576" max="13576" width="34.54296875" style="51" customWidth="1"/>
    <col min="13577" max="13577" width="15.7265625" style="51" customWidth="1"/>
    <col min="13578" max="13578" width="13.81640625" style="51" bestFit="1" customWidth="1"/>
    <col min="13579" max="13579" width="11.453125" style="51" customWidth="1"/>
    <col min="13580" max="13580" width="22" style="51" bestFit="1" customWidth="1"/>
    <col min="13581" max="13824" width="11.453125" style="51"/>
    <col min="13825" max="13825" width="4.26953125" style="51" customWidth="1"/>
    <col min="13826" max="13826" width="93.54296875" style="51" customWidth="1"/>
    <col min="13827" max="13827" width="16" style="51" customWidth="1"/>
    <col min="13828" max="13828" width="15.1796875" style="51" customWidth="1"/>
    <col min="13829" max="13829" width="3.1796875" style="51" customWidth="1"/>
    <col min="13830" max="13830" width="15.26953125" style="51" customWidth="1"/>
    <col min="13831" max="13831" width="14.54296875" style="51" customWidth="1"/>
    <col min="13832" max="13832" width="34.54296875" style="51" customWidth="1"/>
    <col min="13833" max="13833" width="15.7265625" style="51" customWidth="1"/>
    <col min="13834" max="13834" width="13.81640625" style="51" bestFit="1" customWidth="1"/>
    <col min="13835" max="13835" width="11.453125" style="51" customWidth="1"/>
    <col min="13836" max="13836" width="22" style="51" bestFit="1" customWidth="1"/>
    <col min="13837" max="14080" width="11.453125" style="51"/>
    <col min="14081" max="14081" width="4.26953125" style="51" customWidth="1"/>
    <col min="14082" max="14082" width="93.54296875" style="51" customWidth="1"/>
    <col min="14083" max="14083" width="16" style="51" customWidth="1"/>
    <col min="14084" max="14084" width="15.1796875" style="51" customWidth="1"/>
    <col min="14085" max="14085" width="3.1796875" style="51" customWidth="1"/>
    <col min="14086" max="14086" width="15.26953125" style="51" customWidth="1"/>
    <col min="14087" max="14087" width="14.54296875" style="51" customWidth="1"/>
    <col min="14088" max="14088" width="34.54296875" style="51" customWidth="1"/>
    <col min="14089" max="14089" width="15.7265625" style="51" customWidth="1"/>
    <col min="14090" max="14090" width="13.81640625" style="51" bestFit="1" customWidth="1"/>
    <col min="14091" max="14091" width="11.453125" style="51" customWidth="1"/>
    <col min="14092" max="14092" width="22" style="51" bestFit="1" customWidth="1"/>
    <col min="14093" max="14336" width="11.453125" style="51"/>
    <col min="14337" max="14337" width="4.26953125" style="51" customWidth="1"/>
    <col min="14338" max="14338" width="93.54296875" style="51" customWidth="1"/>
    <col min="14339" max="14339" width="16" style="51" customWidth="1"/>
    <col min="14340" max="14340" width="15.1796875" style="51" customWidth="1"/>
    <col min="14341" max="14341" width="3.1796875" style="51" customWidth="1"/>
    <col min="14342" max="14342" width="15.26953125" style="51" customWidth="1"/>
    <col min="14343" max="14343" width="14.54296875" style="51" customWidth="1"/>
    <col min="14344" max="14344" width="34.54296875" style="51" customWidth="1"/>
    <col min="14345" max="14345" width="15.7265625" style="51" customWidth="1"/>
    <col min="14346" max="14346" width="13.81640625" style="51" bestFit="1" customWidth="1"/>
    <col min="14347" max="14347" width="11.453125" style="51" customWidth="1"/>
    <col min="14348" max="14348" width="22" style="51" bestFit="1" customWidth="1"/>
    <col min="14349" max="14592" width="11.453125" style="51"/>
    <col min="14593" max="14593" width="4.26953125" style="51" customWidth="1"/>
    <col min="14594" max="14594" width="93.54296875" style="51" customWidth="1"/>
    <col min="14595" max="14595" width="16" style="51" customWidth="1"/>
    <col min="14596" max="14596" width="15.1796875" style="51" customWidth="1"/>
    <col min="14597" max="14597" width="3.1796875" style="51" customWidth="1"/>
    <col min="14598" max="14598" width="15.26953125" style="51" customWidth="1"/>
    <col min="14599" max="14599" width="14.54296875" style="51" customWidth="1"/>
    <col min="14600" max="14600" width="34.54296875" style="51" customWidth="1"/>
    <col min="14601" max="14601" width="15.7265625" style="51" customWidth="1"/>
    <col min="14602" max="14602" width="13.81640625" style="51" bestFit="1" customWidth="1"/>
    <col min="14603" max="14603" width="11.453125" style="51" customWidth="1"/>
    <col min="14604" max="14604" width="22" style="51" bestFit="1" customWidth="1"/>
    <col min="14605" max="14848" width="11.453125" style="51"/>
    <col min="14849" max="14849" width="4.26953125" style="51" customWidth="1"/>
    <col min="14850" max="14850" width="93.54296875" style="51" customWidth="1"/>
    <col min="14851" max="14851" width="16" style="51" customWidth="1"/>
    <col min="14852" max="14852" width="15.1796875" style="51" customWidth="1"/>
    <col min="14853" max="14853" width="3.1796875" style="51" customWidth="1"/>
    <col min="14854" max="14854" width="15.26953125" style="51" customWidth="1"/>
    <col min="14855" max="14855" width="14.54296875" style="51" customWidth="1"/>
    <col min="14856" max="14856" width="34.54296875" style="51" customWidth="1"/>
    <col min="14857" max="14857" width="15.7265625" style="51" customWidth="1"/>
    <col min="14858" max="14858" width="13.81640625" style="51" bestFit="1" customWidth="1"/>
    <col min="14859" max="14859" width="11.453125" style="51" customWidth="1"/>
    <col min="14860" max="14860" width="22" style="51" bestFit="1" customWidth="1"/>
    <col min="14861" max="15104" width="11.453125" style="51"/>
    <col min="15105" max="15105" width="4.26953125" style="51" customWidth="1"/>
    <col min="15106" max="15106" width="93.54296875" style="51" customWidth="1"/>
    <col min="15107" max="15107" width="16" style="51" customWidth="1"/>
    <col min="15108" max="15108" width="15.1796875" style="51" customWidth="1"/>
    <col min="15109" max="15109" width="3.1796875" style="51" customWidth="1"/>
    <col min="15110" max="15110" width="15.26953125" style="51" customWidth="1"/>
    <col min="15111" max="15111" width="14.54296875" style="51" customWidth="1"/>
    <col min="15112" max="15112" width="34.54296875" style="51" customWidth="1"/>
    <col min="15113" max="15113" width="15.7265625" style="51" customWidth="1"/>
    <col min="15114" max="15114" width="13.81640625" style="51" bestFit="1" customWidth="1"/>
    <col min="15115" max="15115" width="11.453125" style="51" customWidth="1"/>
    <col min="15116" max="15116" width="22" style="51" bestFit="1" customWidth="1"/>
    <col min="15117" max="15360" width="11.453125" style="51"/>
    <col min="15361" max="15361" width="4.26953125" style="51" customWidth="1"/>
    <col min="15362" max="15362" width="93.54296875" style="51" customWidth="1"/>
    <col min="15363" max="15363" width="16" style="51" customWidth="1"/>
    <col min="15364" max="15364" width="15.1796875" style="51" customWidth="1"/>
    <col min="15365" max="15365" width="3.1796875" style="51" customWidth="1"/>
    <col min="15366" max="15366" width="15.26953125" style="51" customWidth="1"/>
    <col min="15367" max="15367" width="14.54296875" style="51" customWidth="1"/>
    <col min="15368" max="15368" width="34.54296875" style="51" customWidth="1"/>
    <col min="15369" max="15369" width="15.7265625" style="51" customWidth="1"/>
    <col min="15370" max="15370" width="13.81640625" style="51" bestFit="1" customWidth="1"/>
    <col min="15371" max="15371" width="11.453125" style="51" customWidth="1"/>
    <col min="15372" max="15372" width="22" style="51" bestFit="1" customWidth="1"/>
    <col min="15373" max="15616" width="11.453125" style="51"/>
    <col min="15617" max="15617" width="4.26953125" style="51" customWidth="1"/>
    <col min="15618" max="15618" width="93.54296875" style="51" customWidth="1"/>
    <col min="15619" max="15619" width="16" style="51" customWidth="1"/>
    <col min="15620" max="15620" width="15.1796875" style="51" customWidth="1"/>
    <col min="15621" max="15621" width="3.1796875" style="51" customWidth="1"/>
    <col min="15622" max="15622" width="15.26953125" style="51" customWidth="1"/>
    <col min="15623" max="15623" width="14.54296875" style="51" customWidth="1"/>
    <col min="15624" max="15624" width="34.54296875" style="51" customWidth="1"/>
    <col min="15625" max="15625" width="15.7265625" style="51" customWidth="1"/>
    <col min="15626" max="15626" width="13.81640625" style="51" bestFit="1" customWidth="1"/>
    <col min="15627" max="15627" width="11.453125" style="51" customWidth="1"/>
    <col min="15628" max="15628" width="22" style="51" bestFit="1" customWidth="1"/>
    <col min="15629" max="15872" width="11.453125" style="51"/>
    <col min="15873" max="15873" width="4.26953125" style="51" customWidth="1"/>
    <col min="15874" max="15874" width="93.54296875" style="51" customWidth="1"/>
    <col min="15875" max="15875" width="16" style="51" customWidth="1"/>
    <col min="15876" max="15876" width="15.1796875" style="51" customWidth="1"/>
    <col min="15877" max="15877" width="3.1796875" style="51" customWidth="1"/>
    <col min="15878" max="15878" width="15.26953125" style="51" customWidth="1"/>
    <col min="15879" max="15879" width="14.54296875" style="51" customWidth="1"/>
    <col min="15880" max="15880" width="34.54296875" style="51" customWidth="1"/>
    <col min="15881" max="15881" width="15.7265625" style="51" customWidth="1"/>
    <col min="15882" max="15882" width="13.81640625" style="51" bestFit="1" customWidth="1"/>
    <col min="15883" max="15883" width="11.453125" style="51" customWidth="1"/>
    <col min="15884" max="15884" width="22" style="51" bestFit="1" customWidth="1"/>
    <col min="15885" max="16128" width="11.453125" style="51"/>
    <col min="16129" max="16129" width="4.26953125" style="51" customWidth="1"/>
    <col min="16130" max="16130" width="93.54296875" style="51" customWidth="1"/>
    <col min="16131" max="16131" width="16" style="51" customWidth="1"/>
    <col min="16132" max="16132" width="15.1796875" style="51" customWidth="1"/>
    <col min="16133" max="16133" width="3.1796875" style="51" customWidth="1"/>
    <col min="16134" max="16134" width="15.26953125" style="51" customWidth="1"/>
    <col min="16135" max="16135" width="14.54296875" style="51" customWidth="1"/>
    <col min="16136" max="16136" width="34.54296875" style="51" customWidth="1"/>
    <col min="16137" max="16137" width="15.7265625" style="51" customWidth="1"/>
    <col min="16138" max="16138" width="13.81640625" style="51" bestFit="1" customWidth="1"/>
    <col min="16139" max="16139" width="11.453125" style="51" customWidth="1"/>
    <col min="16140" max="16140" width="22" style="51" bestFit="1" customWidth="1"/>
    <col min="16141" max="16384" width="11.453125" style="51"/>
  </cols>
  <sheetData>
    <row r="1" spans="1:12" ht="30.75" customHeight="1" x14ac:dyDescent="0.55000000000000004">
      <c r="B1" s="823" t="s">
        <v>84</v>
      </c>
      <c r="C1" s="823"/>
      <c r="D1" s="823"/>
      <c r="E1" s="823"/>
      <c r="F1" s="823"/>
      <c r="G1" s="823"/>
      <c r="H1" s="415">
        <v>41364</v>
      </c>
      <c r="I1" s="50">
        <v>2012</v>
      </c>
      <c r="J1" s="50">
        <v>2013</v>
      </c>
      <c r="K1" s="50">
        <v>2014</v>
      </c>
      <c r="L1" s="50">
        <v>2015</v>
      </c>
    </row>
    <row r="2" spans="1:12" ht="54.75" customHeight="1" x14ac:dyDescent="0.3">
      <c r="B2" s="824" t="s">
        <v>237</v>
      </c>
      <c r="C2" s="824"/>
      <c r="D2" s="824"/>
      <c r="E2" s="824"/>
      <c r="F2" s="824"/>
      <c r="G2" s="824"/>
    </row>
    <row r="3" spans="1:12" ht="3" customHeight="1" x14ac:dyDescent="0.3">
      <c r="A3" s="53"/>
      <c r="B3" s="54" t="s">
        <v>86</v>
      </c>
      <c r="C3" s="54"/>
      <c r="D3" s="54"/>
      <c r="E3" s="54"/>
      <c r="F3" s="54"/>
      <c r="G3" s="54"/>
    </row>
    <row r="4" spans="1:12" ht="39.75" customHeight="1" x14ac:dyDescent="0.3">
      <c r="A4" s="825" t="s">
        <v>5</v>
      </c>
      <c r="B4" s="826"/>
      <c r="C4" s="827">
        <v>41274</v>
      </c>
      <c r="D4" s="829">
        <v>41639</v>
      </c>
      <c r="E4" s="830"/>
      <c r="F4" s="833" t="s">
        <v>87</v>
      </c>
      <c r="G4" s="825"/>
    </row>
    <row r="5" spans="1:12" ht="18.75" customHeight="1" x14ac:dyDescent="0.3">
      <c r="A5" s="825"/>
      <c r="B5" s="826"/>
      <c r="C5" s="828"/>
      <c r="D5" s="831"/>
      <c r="E5" s="832"/>
      <c r="F5" s="56" t="s">
        <v>88</v>
      </c>
      <c r="G5" s="416" t="s">
        <v>89</v>
      </c>
    </row>
    <row r="6" spans="1:12" ht="15" customHeight="1" x14ac:dyDescent="0.35">
      <c r="A6" s="58" t="s">
        <v>90</v>
      </c>
      <c r="B6" s="59" t="s">
        <v>91</v>
      </c>
      <c r="C6" s="60"/>
      <c r="D6" s="417"/>
      <c r="E6" s="62"/>
      <c r="F6" s="63"/>
      <c r="G6" s="418"/>
    </row>
    <row r="7" spans="1:12" ht="19.5" customHeight="1" x14ac:dyDescent="0.35">
      <c r="A7" s="814">
        <v>1</v>
      </c>
      <c r="B7" s="65" t="s">
        <v>92</v>
      </c>
      <c r="C7" s="419">
        <v>2527369</v>
      </c>
      <c r="D7" s="420">
        <v>2685198</v>
      </c>
      <c r="E7" s="68"/>
      <c r="F7" s="421">
        <v>157829</v>
      </c>
      <c r="G7" s="422">
        <v>6.2447944878646533</v>
      </c>
      <c r="I7" s="71"/>
      <c r="J7" s="71"/>
    </row>
    <row r="8" spans="1:12" ht="15" customHeight="1" x14ac:dyDescent="0.35">
      <c r="A8" s="818"/>
      <c r="B8" s="72" t="s">
        <v>93</v>
      </c>
      <c r="C8" s="423">
        <v>168162</v>
      </c>
      <c r="D8" s="424">
        <v>177849</v>
      </c>
      <c r="E8" s="425"/>
      <c r="F8" s="426">
        <v>9687</v>
      </c>
      <c r="G8" s="427">
        <v>5.7605166446640741</v>
      </c>
      <c r="I8" s="78"/>
      <c r="J8" s="78"/>
    </row>
    <row r="9" spans="1:12" ht="15" customHeight="1" x14ac:dyDescent="0.35">
      <c r="A9" s="818"/>
      <c r="B9" s="79" t="s">
        <v>94</v>
      </c>
      <c r="C9" s="266">
        <v>77293</v>
      </c>
      <c r="D9" s="428">
        <v>82151</v>
      </c>
      <c r="E9" s="156"/>
      <c r="F9" s="429">
        <v>4858</v>
      </c>
      <c r="G9" s="430">
        <v>6.2851745953708615</v>
      </c>
    </row>
    <row r="10" spans="1:12" ht="15" customHeight="1" x14ac:dyDescent="0.35">
      <c r="A10" s="818"/>
      <c r="B10" s="79" t="s">
        <v>95</v>
      </c>
      <c r="C10" s="266">
        <v>90869</v>
      </c>
      <c r="D10" s="428">
        <v>95698</v>
      </c>
      <c r="E10" s="156"/>
      <c r="F10" s="429">
        <v>4829</v>
      </c>
      <c r="G10" s="430">
        <v>5.3142435814194062</v>
      </c>
    </row>
    <row r="11" spans="1:12" ht="21.75" customHeight="1" x14ac:dyDescent="0.35">
      <c r="A11" s="818"/>
      <c r="B11" s="72" t="s">
        <v>238</v>
      </c>
      <c r="C11" s="423">
        <v>2359207</v>
      </c>
      <c r="D11" s="424">
        <v>2507349</v>
      </c>
      <c r="E11" s="425"/>
      <c r="F11" s="431">
        <v>148142</v>
      </c>
      <c r="G11" s="432">
        <v>6.2793133455436507</v>
      </c>
      <c r="I11" s="51" t="s">
        <v>65</v>
      </c>
    </row>
    <row r="12" spans="1:12" ht="15" customHeight="1" x14ac:dyDescent="0.35">
      <c r="A12" s="433"/>
      <c r="B12" s="360"/>
      <c r="C12" s="434"/>
      <c r="D12" s="435"/>
      <c r="E12" s="436"/>
      <c r="F12" s="437"/>
      <c r="G12" s="438"/>
    </row>
    <row r="13" spans="1:12" ht="15" customHeight="1" x14ac:dyDescent="0.35">
      <c r="A13" s="439">
        <v>2</v>
      </c>
      <c r="B13" s="72" t="s">
        <v>99</v>
      </c>
      <c r="C13" s="423">
        <v>13660</v>
      </c>
      <c r="D13" s="424">
        <v>14508</v>
      </c>
      <c r="E13" s="425"/>
      <c r="F13" s="429">
        <v>848</v>
      </c>
      <c r="G13" s="430">
        <v>6.207906295754027</v>
      </c>
    </row>
    <row r="14" spans="1:12" ht="15" customHeight="1" x14ac:dyDescent="0.35">
      <c r="A14" s="440"/>
      <c r="B14" s="97" t="s">
        <v>100</v>
      </c>
      <c r="C14" s="266">
        <v>9563</v>
      </c>
      <c r="D14" s="428">
        <v>10654</v>
      </c>
      <c r="E14" s="156"/>
      <c r="F14" s="429">
        <v>1091</v>
      </c>
      <c r="G14" s="430">
        <v>11.408553801108438</v>
      </c>
    </row>
    <row r="15" spans="1:12" ht="15" customHeight="1" x14ac:dyDescent="0.35">
      <c r="A15" s="441"/>
      <c r="B15" s="100" t="s">
        <v>101</v>
      </c>
      <c r="C15" s="442">
        <v>4097</v>
      </c>
      <c r="D15" s="443">
        <v>3854</v>
      </c>
      <c r="E15" s="163"/>
      <c r="F15" s="444">
        <v>-243</v>
      </c>
      <c r="G15" s="445">
        <v>-5.9311691481571875</v>
      </c>
    </row>
    <row r="16" spans="1:12" ht="15" customHeight="1" x14ac:dyDescent="0.35">
      <c r="A16" s="440">
        <v>3</v>
      </c>
      <c r="B16" s="72" t="s">
        <v>102</v>
      </c>
      <c r="C16" s="446">
        <v>625677</v>
      </c>
      <c r="D16" s="447">
        <v>656666</v>
      </c>
      <c r="E16" s="448"/>
      <c r="F16" s="449">
        <v>30989</v>
      </c>
      <c r="G16" s="450">
        <v>4.9528750457504431</v>
      </c>
    </row>
    <row r="17" spans="1:12" ht="15" customHeight="1" x14ac:dyDescent="0.35">
      <c r="A17" s="160"/>
      <c r="B17" s="72"/>
      <c r="C17" s="434"/>
      <c r="D17" s="435"/>
      <c r="E17" s="436"/>
      <c r="F17" s="437"/>
      <c r="G17" s="438"/>
    </row>
    <row r="18" spans="1:12" ht="17.25" customHeight="1" x14ac:dyDescent="0.35">
      <c r="A18" s="814">
        <v>4</v>
      </c>
      <c r="B18" s="111" t="s">
        <v>103</v>
      </c>
      <c r="C18" s="451">
        <v>40.442679471592008</v>
      </c>
      <c r="D18" s="452">
        <v>42.968241689978754</v>
      </c>
      <c r="E18" s="453"/>
      <c r="F18" s="454">
        <v>2.5255622183867459</v>
      </c>
      <c r="G18" s="455"/>
    </row>
    <row r="19" spans="1:12" ht="15" customHeight="1" x14ac:dyDescent="0.35">
      <c r="A19" s="818"/>
      <c r="B19" s="72" t="s">
        <v>104</v>
      </c>
      <c r="C19" s="451">
        <v>2.6909097426224089</v>
      </c>
      <c r="D19" s="452">
        <v>2.8459200462390601</v>
      </c>
      <c r="E19" s="453"/>
      <c r="F19" s="456">
        <v>0.15501030361665102</v>
      </c>
      <c r="G19" s="455"/>
    </row>
    <row r="20" spans="1:12" ht="15" customHeight="1" x14ac:dyDescent="0.35">
      <c r="A20" s="818"/>
      <c r="B20" s="122" t="s">
        <v>105</v>
      </c>
      <c r="C20" s="457">
        <v>1.2368340453640765</v>
      </c>
      <c r="D20" s="458">
        <v>1.3145712245701973</v>
      </c>
      <c r="E20" s="129"/>
      <c r="F20" s="459">
        <v>7.7737179206120777E-2</v>
      </c>
      <c r="G20" s="460"/>
    </row>
    <row r="21" spans="1:12" ht="15" customHeight="1" x14ac:dyDescent="0.35">
      <c r="A21" s="818"/>
      <c r="B21" s="122" t="s">
        <v>106</v>
      </c>
      <c r="C21" s="457">
        <v>1.4540756972583324</v>
      </c>
      <c r="D21" s="458">
        <v>1.5313488216688627</v>
      </c>
      <c r="E21" s="129"/>
      <c r="F21" s="459">
        <v>7.7273124410530247E-2</v>
      </c>
      <c r="G21" s="460"/>
    </row>
    <row r="22" spans="1:12" ht="15" customHeight="1" x14ac:dyDescent="0.35">
      <c r="A22" s="819"/>
      <c r="B22" s="360" t="s">
        <v>107</v>
      </c>
      <c r="C22" s="461">
        <v>37.751769728969599</v>
      </c>
      <c r="D22" s="462">
        <v>40.122321643739696</v>
      </c>
      <c r="E22" s="463"/>
      <c r="F22" s="464">
        <v>2.3705519147700969</v>
      </c>
      <c r="G22" s="465"/>
    </row>
    <row r="23" spans="1:12" ht="18" customHeight="1" x14ac:dyDescent="0.35">
      <c r="A23" s="136">
        <v>5</v>
      </c>
      <c r="B23" s="152" t="s">
        <v>108</v>
      </c>
      <c r="C23" s="466">
        <v>92.755859795049389</v>
      </c>
      <c r="D23" s="467">
        <v>98.548272614702086</v>
      </c>
      <c r="E23" s="468"/>
      <c r="F23" s="469">
        <v>5.7924128196526965</v>
      </c>
      <c r="G23" s="455"/>
    </row>
    <row r="24" spans="1:12" ht="15" customHeight="1" x14ac:dyDescent="0.35">
      <c r="A24" s="136"/>
      <c r="B24" s="72" t="s">
        <v>104</v>
      </c>
      <c r="C24" s="466">
        <v>6.1716397149981237</v>
      </c>
      <c r="D24" s="467">
        <v>6.5271580480292908</v>
      </c>
      <c r="E24" s="468"/>
      <c r="F24" s="470">
        <v>0.3555183330311662</v>
      </c>
      <c r="G24" s="455"/>
    </row>
    <row r="25" spans="1:12" ht="15" customHeight="1" x14ac:dyDescent="0.35">
      <c r="A25" s="136"/>
      <c r="B25" s="122" t="s">
        <v>105</v>
      </c>
      <c r="C25" s="471">
        <v>2.8366964503951548</v>
      </c>
      <c r="D25" s="472">
        <v>3.0149877750431782</v>
      </c>
      <c r="E25" s="145"/>
      <c r="F25" s="473">
        <v>0.17829132464802333</v>
      </c>
      <c r="G25" s="460"/>
    </row>
    <row r="26" spans="1:12" ht="15" customHeight="1" x14ac:dyDescent="0.35">
      <c r="A26" s="136"/>
      <c r="B26" s="122" t="s">
        <v>106</v>
      </c>
      <c r="C26" s="471">
        <v>3.3349432646029693</v>
      </c>
      <c r="D26" s="472">
        <v>3.5121702729861122</v>
      </c>
      <c r="E26" s="145"/>
      <c r="F26" s="473">
        <v>0.17722700838314287</v>
      </c>
      <c r="G26" s="460"/>
    </row>
    <row r="27" spans="1:12" ht="15" customHeight="1" x14ac:dyDescent="0.35">
      <c r="A27" s="160"/>
      <c r="B27" s="474" t="s">
        <v>109</v>
      </c>
      <c r="C27" s="475">
        <v>86.584220080051267</v>
      </c>
      <c r="D27" s="476">
        <v>92.021114566672807</v>
      </c>
      <c r="E27" s="477"/>
      <c r="F27" s="478">
        <v>5.4368944866215401</v>
      </c>
      <c r="G27" s="465"/>
    </row>
    <row r="28" spans="1:12" ht="21" customHeight="1" x14ac:dyDescent="0.35">
      <c r="A28" s="151">
        <v>6</v>
      </c>
      <c r="B28" s="152" t="s">
        <v>110</v>
      </c>
      <c r="C28" s="479">
        <v>2359207</v>
      </c>
      <c r="D28" s="480">
        <v>2507349</v>
      </c>
      <c r="E28" s="85"/>
      <c r="F28" s="481">
        <v>148142</v>
      </c>
      <c r="G28" s="482">
        <v>6.2793133455436507</v>
      </c>
      <c r="H28" s="96"/>
    </row>
    <row r="29" spans="1:12" ht="15" customHeight="1" x14ac:dyDescent="0.35">
      <c r="A29" s="136"/>
      <c r="B29" s="153" t="s">
        <v>111</v>
      </c>
      <c r="C29" s="266">
        <v>95</v>
      </c>
      <c r="D29" s="428">
        <v>38</v>
      </c>
      <c r="E29" s="156"/>
      <c r="F29" s="83">
        <v>-57</v>
      </c>
      <c r="G29" s="483">
        <v>-60</v>
      </c>
      <c r="H29" s="96"/>
      <c r="I29" s="96"/>
      <c r="J29" s="155"/>
      <c r="L29" s="155"/>
    </row>
    <row r="30" spans="1:12" ht="15" customHeight="1" x14ac:dyDescent="0.35">
      <c r="A30" s="136"/>
      <c r="B30" s="153" t="s">
        <v>112</v>
      </c>
      <c r="C30" s="266">
        <v>101093</v>
      </c>
      <c r="D30" s="428">
        <v>109979</v>
      </c>
      <c r="E30" s="156"/>
      <c r="F30" s="265">
        <v>8886</v>
      </c>
      <c r="G30" s="483">
        <v>8.7899261076434581</v>
      </c>
      <c r="H30" s="96"/>
      <c r="I30" s="96"/>
      <c r="J30" s="155"/>
      <c r="L30" s="155"/>
    </row>
    <row r="31" spans="1:12" ht="15" customHeight="1" x14ac:dyDescent="0.35">
      <c r="A31" s="136"/>
      <c r="B31" s="153" t="s">
        <v>113</v>
      </c>
      <c r="C31" s="266">
        <v>420285</v>
      </c>
      <c r="D31" s="428">
        <v>439988</v>
      </c>
      <c r="E31" s="156"/>
      <c r="F31" s="265">
        <v>19703</v>
      </c>
      <c r="G31" s="483">
        <v>4.6880093270042948</v>
      </c>
      <c r="H31" s="96"/>
      <c r="I31" s="96"/>
      <c r="J31" s="155"/>
      <c r="L31" s="155"/>
    </row>
    <row r="32" spans="1:12" ht="15" customHeight="1" x14ac:dyDescent="0.35">
      <c r="A32" s="136"/>
      <c r="B32" s="153" t="s">
        <v>114</v>
      </c>
      <c r="C32" s="266">
        <v>399608</v>
      </c>
      <c r="D32" s="428">
        <v>427308</v>
      </c>
      <c r="E32" s="156"/>
      <c r="F32" s="265">
        <v>27700</v>
      </c>
      <c r="G32" s="483">
        <v>6.9317931572941482</v>
      </c>
      <c r="H32" s="96"/>
      <c r="I32" s="96"/>
      <c r="J32" s="155"/>
      <c r="L32" s="155"/>
    </row>
    <row r="33" spans="1:12" ht="15" customHeight="1" x14ac:dyDescent="0.35">
      <c r="A33" s="136"/>
      <c r="B33" s="153" t="s">
        <v>115</v>
      </c>
      <c r="C33" s="266">
        <v>395447</v>
      </c>
      <c r="D33" s="428">
        <v>389909</v>
      </c>
      <c r="E33" s="156"/>
      <c r="F33" s="265">
        <v>-5538</v>
      </c>
      <c r="G33" s="483">
        <v>-1.4004405141523391</v>
      </c>
      <c r="H33" s="96"/>
      <c r="I33" s="96"/>
      <c r="J33" s="155"/>
      <c r="L33" s="155"/>
    </row>
    <row r="34" spans="1:12" ht="15" customHeight="1" x14ac:dyDescent="0.35">
      <c r="A34" s="136"/>
      <c r="B34" s="153" t="s">
        <v>116</v>
      </c>
      <c r="C34" s="266">
        <v>346203</v>
      </c>
      <c r="D34" s="428">
        <v>366603</v>
      </c>
      <c r="E34" s="156"/>
      <c r="F34" s="265">
        <v>20400</v>
      </c>
      <c r="G34" s="483">
        <v>5.8924965988163009</v>
      </c>
      <c r="H34" s="96"/>
      <c r="I34" s="96"/>
      <c r="J34" s="155"/>
      <c r="L34" s="155"/>
    </row>
    <row r="35" spans="1:12" ht="15" customHeight="1" x14ac:dyDescent="0.35">
      <c r="A35" s="136"/>
      <c r="B35" s="153" t="s">
        <v>117</v>
      </c>
      <c r="C35" s="266">
        <v>254730</v>
      </c>
      <c r="D35" s="428">
        <v>272731</v>
      </c>
      <c r="E35" s="156"/>
      <c r="F35" s="265">
        <v>18001</v>
      </c>
      <c r="G35" s="483">
        <v>7.0666980724688884</v>
      </c>
      <c r="H35" s="96"/>
      <c r="I35" s="96"/>
      <c r="J35" s="155"/>
      <c r="L35" s="155"/>
    </row>
    <row r="36" spans="1:12" ht="15" customHeight="1" x14ac:dyDescent="0.35">
      <c r="A36" s="136"/>
      <c r="B36" s="153" t="s">
        <v>118</v>
      </c>
      <c r="C36" s="266">
        <v>187208</v>
      </c>
      <c r="D36" s="428">
        <v>201467</v>
      </c>
      <c r="E36" s="156"/>
      <c r="F36" s="265">
        <v>14259</v>
      </c>
      <c r="G36" s="483">
        <v>7.6166616811247385</v>
      </c>
      <c r="H36" s="96"/>
      <c r="I36" s="96"/>
      <c r="J36" s="155"/>
      <c r="L36" s="155"/>
    </row>
    <row r="37" spans="1:12" ht="15" customHeight="1" x14ac:dyDescent="0.35">
      <c r="A37" s="136"/>
      <c r="B37" s="153" t="s">
        <v>119</v>
      </c>
      <c r="C37" s="266">
        <v>123251</v>
      </c>
      <c r="D37" s="428">
        <v>135449</v>
      </c>
      <c r="E37" s="156"/>
      <c r="F37" s="265">
        <v>12198</v>
      </c>
      <c r="G37" s="483">
        <v>9.8968771044454016</v>
      </c>
      <c r="H37" s="96"/>
      <c r="I37" s="96"/>
      <c r="J37" s="155"/>
      <c r="L37" s="155"/>
    </row>
    <row r="38" spans="1:12" ht="15" customHeight="1" x14ac:dyDescent="0.35">
      <c r="A38" s="136"/>
      <c r="B38" s="153" t="s">
        <v>120</v>
      </c>
      <c r="C38" s="266">
        <v>74728</v>
      </c>
      <c r="D38" s="428">
        <v>87539</v>
      </c>
      <c r="E38" s="156"/>
      <c r="F38" s="265">
        <v>12811</v>
      </c>
      <c r="G38" s="483">
        <v>17.143507119152122</v>
      </c>
      <c r="H38" s="96"/>
      <c r="I38" s="96"/>
      <c r="J38" s="155"/>
      <c r="L38" s="155"/>
    </row>
    <row r="39" spans="1:12" ht="15" customHeight="1" x14ac:dyDescent="0.35">
      <c r="A39" s="136"/>
      <c r="B39" s="153" t="s">
        <v>121</v>
      </c>
      <c r="C39" s="266">
        <v>40514</v>
      </c>
      <c r="D39" s="428">
        <v>54977</v>
      </c>
      <c r="E39" s="156"/>
      <c r="F39" s="265">
        <v>14463</v>
      </c>
      <c r="G39" s="483">
        <v>35.698770795280645</v>
      </c>
      <c r="H39" s="96"/>
      <c r="I39" s="96"/>
      <c r="J39" s="155"/>
      <c r="L39" s="155"/>
    </row>
    <row r="40" spans="1:12" ht="15" customHeight="1" x14ac:dyDescent="0.35">
      <c r="A40" s="136"/>
      <c r="B40" s="153" t="s">
        <v>122</v>
      </c>
      <c r="C40" s="266">
        <v>14924</v>
      </c>
      <c r="D40" s="428">
        <v>17874</v>
      </c>
      <c r="E40" s="156"/>
      <c r="F40" s="265">
        <v>2950</v>
      </c>
      <c r="G40" s="483">
        <v>19.766818547306354</v>
      </c>
      <c r="H40" s="96"/>
      <c r="I40" s="96"/>
      <c r="J40" s="155"/>
      <c r="L40" s="155"/>
    </row>
    <row r="41" spans="1:12" ht="15" customHeight="1" x14ac:dyDescent="0.35">
      <c r="A41" s="136"/>
      <c r="B41" s="153" t="s">
        <v>123</v>
      </c>
      <c r="C41" s="266">
        <v>814</v>
      </c>
      <c r="D41" s="428">
        <v>3114</v>
      </c>
      <c r="E41" s="156"/>
      <c r="F41" s="484">
        <v>2300</v>
      </c>
      <c r="G41" s="483">
        <v>282.55528255528259</v>
      </c>
      <c r="H41" s="96"/>
      <c r="I41" s="96"/>
      <c r="J41" s="155"/>
      <c r="L41" s="155"/>
    </row>
    <row r="42" spans="1:12" ht="15" customHeight="1" x14ac:dyDescent="0.35">
      <c r="A42" s="136"/>
      <c r="B42" s="153" t="s">
        <v>124</v>
      </c>
      <c r="C42" s="266">
        <v>199</v>
      </c>
      <c r="D42" s="428">
        <v>241</v>
      </c>
      <c r="E42" s="156"/>
      <c r="F42" s="484">
        <v>42</v>
      </c>
      <c r="G42" s="483">
        <v>21.105527638190953</v>
      </c>
      <c r="I42" s="96"/>
      <c r="J42" s="155"/>
      <c r="L42" s="155"/>
    </row>
    <row r="43" spans="1:12" ht="15" customHeight="1" x14ac:dyDescent="0.35">
      <c r="A43" s="136"/>
      <c r="B43" s="153" t="s">
        <v>125</v>
      </c>
      <c r="C43" s="266">
        <v>81</v>
      </c>
      <c r="D43" s="428">
        <v>95</v>
      </c>
      <c r="E43" s="156"/>
      <c r="F43" s="484">
        <v>14</v>
      </c>
      <c r="G43" s="483">
        <v>17.283950617283949</v>
      </c>
      <c r="I43" s="96"/>
      <c r="J43" s="155"/>
      <c r="L43" s="155"/>
    </row>
    <row r="44" spans="1:12" ht="15" customHeight="1" x14ac:dyDescent="0.35">
      <c r="A44" s="136"/>
      <c r="B44" s="153" t="s">
        <v>126</v>
      </c>
      <c r="C44" s="266">
        <v>27</v>
      </c>
      <c r="D44" s="428">
        <v>37</v>
      </c>
      <c r="E44" s="156"/>
      <c r="F44" s="484">
        <v>10</v>
      </c>
      <c r="G44" s="483">
        <v>37.037037037037038</v>
      </c>
      <c r="H44" s="96"/>
      <c r="J44" s="155"/>
      <c r="L44" s="155"/>
    </row>
    <row r="45" spans="1:12" ht="8.25" customHeight="1" x14ac:dyDescent="0.35">
      <c r="A45" s="160"/>
      <c r="B45" s="161"/>
      <c r="C45" s="240"/>
      <c r="D45" s="485"/>
      <c r="E45" s="242"/>
      <c r="F45" s="179"/>
      <c r="G45" s="486"/>
    </row>
    <row r="46" spans="1:12" ht="23.25" customHeight="1" x14ac:dyDescent="0.3">
      <c r="A46" s="165">
        <v>7</v>
      </c>
      <c r="B46" s="137" t="s">
        <v>127</v>
      </c>
      <c r="C46" s="487">
        <v>2359207</v>
      </c>
      <c r="D46" s="488">
        <v>2507349</v>
      </c>
      <c r="E46" s="168"/>
      <c r="F46" s="489">
        <v>148142</v>
      </c>
      <c r="G46" s="215">
        <v>6.2793133455436507</v>
      </c>
      <c r="I46" s="96"/>
      <c r="J46" s="96"/>
      <c r="K46" s="96"/>
    </row>
    <row r="47" spans="1:12" ht="15" customHeight="1" x14ac:dyDescent="0.35">
      <c r="A47" s="165"/>
      <c r="B47" s="172" t="s">
        <v>128</v>
      </c>
      <c r="C47" s="490">
        <v>114634</v>
      </c>
      <c r="D47" s="264">
        <v>122596</v>
      </c>
      <c r="E47" s="491"/>
      <c r="F47" s="174">
        <v>7962</v>
      </c>
      <c r="G47" s="84">
        <v>6.9455833347872362</v>
      </c>
      <c r="H47" s="96"/>
      <c r="I47" s="176"/>
      <c r="J47" s="96"/>
      <c r="K47" s="96"/>
    </row>
    <row r="48" spans="1:12" ht="15" customHeight="1" x14ac:dyDescent="0.35">
      <c r="A48" s="165"/>
      <c r="B48" s="172" t="s">
        <v>129</v>
      </c>
      <c r="C48" s="490">
        <v>223591</v>
      </c>
      <c r="D48" s="264">
        <v>235607</v>
      </c>
      <c r="E48" s="491"/>
      <c r="F48" s="174">
        <v>12016</v>
      </c>
      <c r="G48" s="84">
        <v>5.3740982418791452</v>
      </c>
      <c r="I48" s="176"/>
      <c r="J48" s="96"/>
      <c r="K48" s="96"/>
    </row>
    <row r="49" spans="1:12" ht="15" customHeight="1" x14ac:dyDescent="0.35">
      <c r="A49" s="165"/>
      <c r="B49" s="172" t="s">
        <v>130</v>
      </c>
      <c r="C49" s="490">
        <v>187051</v>
      </c>
      <c r="D49" s="264">
        <v>198665</v>
      </c>
      <c r="E49" s="491"/>
      <c r="F49" s="174">
        <v>11614</v>
      </c>
      <c r="G49" s="84">
        <v>6.2090018230322208</v>
      </c>
      <c r="H49" s="96"/>
      <c r="I49" s="176"/>
      <c r="J49" s="96"/>
      <c r="K49" s="96"/>
    </row>
    <row r="50" spans="1:12" ht="15" customHeight="1" x14ac:dyDescent="0.35">
      <c r="A50" s="165"/>
      <c r="B50" s="172" t="s">
        <v>131</v>
      </c>
      <c r="C50" s="490">
        <v>48252</v>
      </c>
      <c r="D50" s="264">
        <v>52255</v>
      </c>
      <c r="E50" s="491"/>
      <c r="F50" s="174">
        <v>4003</v>
      </c>
      <c r="G50" s="84">
        <v>8.2960291801376105</v>
      </c>
      <c r="H50" s="96"/>
      <c r="I50" s="176"/>
      <c r="J50" s="96"/>
      <c r="K50" s="96"/>
    </row>
    <row r="51" spans="1:12" ht="15" customHeight="1" x14ac:dyDescent="0.35">
      <c r="A51" s="165"/>
      <c r="B51" s="172" t="s">
        <v>132</v>
      </c>
      <c r="C51" s="490">
        <v>323130</v>
      </c>
      <c r="D51" s="264">
        <v>341712</v>
      </c>
      <c r="E51" s="491"/>
      <c r="F51" s="174">
        <v>18582</v>
      </c>
      <c r="G51" s="84">
        <v>5.7506266827592611</v>
      </c>
      <c r="I51" s="176"/>
      <c r="J51" s="96"/>
      <c r="K51" s="96"/>
    </row>
    <row r="52" spans="1:12" ht="15" customHeight="1" x14ac:dyDescent="0.35">
      <c r="A52" s="165"/>
      <c r="B52" s="172" t="s">
        <v>133</v>
      </c>
      <c r="C52" s="490">
        <v>861918</v>
      </c>
      <c r="D52" s="264">
        <v>900636</v>
      </c>
      <c r="E52" s="491"/>
      <c r="F52" s="174">
        <v>38718</v>
      </c>
      <c r="G52" s="84">
        <v>4.4920746521130779</v>
      </c>
      <c r="I52" s="176"/>
      <c r="J52" s="96"/>
      <c r="K52" s="96"/>
    </row>
    <row r="53" spans="1:12" ht="15" customHeight="1" x14ac:dyDescent="0.35">
      <c r="A53" s="165"/>
      <c r="B53" s="172" t="s">
        <v>134</v>
      </c>
      <c r="C53" s="490">
        <v>87829</v>
      </c>
      <c r="D53" s="264">
        <v>94280</v>
      </c>
      <c r="E53" s="491"/>
      <c r="F53" s="174">
        <v>6451</v>
      </c>
      <c r="G53" s="84">
        <v>7.3449544000273264</v>
      </c>
      <c r="I53" s="176"/>
      <c r="J53" s="96"/>
      <c r="K53" s="96"/>
    </row>
    <row r="54" spans="1:12" ht="15" customHeight="1" x14ac:dyDescent="0.35">
      <c r="A54" s="165"/>
      <c r="B54" s="172" t="s">
        <v>135</v>
      </c>
      <c r="C54" s="490">
        <v>122151</v>
      </c>
      <c r="D54" s="264">
        <v>129750</v>
      </c>
      <c r="E54" s="491"/>
      <c r="F54" s="174">
        <v>7599</v>
      </c>
      <c r="G54" s="84">
        <v>6.2209887761868501</v>
      </c>
      <c r="I54" s="176"/>
      <c r="J54" s="96"/>
      <c r="K54" s="96"/>
    </row>
    <row r="55" spans="1:12" ht="15" customHeight="1" x14ac:dyDescent="0.35">
      <c r="A55" s="165"/>
      <c r="B55" s="172" t="s">
        <v>136</v>
      </c>
      <c r="C55" s="490">
        <v>39414</v>
      </c>
      <c r="D55" s="264">
        <v>43537</v>
      </c>
      <c r="E55" s="491"/>
      <c r="F55" s="174">
        <v>4123</v>
      </c>
      <c r="G55" s="84">
        <v>10.460749987314152</v>
      </c>
      <c r="I55" s="176"/>
      <c r="J55" s="96"/>
      <c r="K55" s="96"/>
    </row>
    <row r="56" spans="1:12" ht="15" customHeight="1" x14ac:dyDescent="0.35">
      <c r="A56" s="165"/>
      <c r="B56" s="172" t="s">
        <v>137</v>
      </c>
      <c r="C56" s="490">
        <v>47720</v>
      </c>
      <c r="D56" s="264">
        <v>51794</v>
      </c>
      <c r="E56" s="491"/>
      <c r="F56" s="174">
        <v>4074</v>
      </c>
      <c r="G56" s="84">
        <v>8.5373009220452634</v>
      </c>
      <c r="I56" s="176"/>
      <c r="J56" s="96"/>
      <c r="K56" s="96"/>
    </row>
    <row r="57" spans="1:12" ht="15" customHeight="1" x14ac:dyDescent="0.35">
      <c r="A57" s="165"/>
      <c r="B57" s="172" t="s">
        <v>138</v>
      </c>
      <c r="C57" s="490">
        <v>99844</v>
      </c>
      <c r="D57" s="264">
        <v>111172</v>
      </c>
      <c r="E57" s="491"/>
      <c r="F57" s="174">
        <v>11328</v>
      </c>
      <c r="G57" s="84">
        <v>11.345699290893794</v>
      </c>
      <c r="I57" s="176"/>
      <c r="J57" s="96"/>
      <c r="K57" s="96"/>
    </row>
    <row r="58" spans="1:12" ht="18.75" customHeight="1" x14ac:dyDescent="0.35">
      <c r="A58" s="165"/>
      <c r="B58" s="172" t="s">
        <v>139</v>
      </c>
      <c r="C58" s="490">
        <v>134032</v>
      </c>
      <c r="D58" s="264">
        <v>146760</v>
      </c>
      <c r="E58" s="491"/>
      <c r="F58" s="174">
        <v>12728</v>
      </c>
      <c r="G58" s="84">
        <v>9.4962397039512947</v>
      </c>
      <c r="H58" s="96"/>
      <c r="I58" s="176"/>
      <c r="J58" s="96"/>
      <c r="K58" s="96"/>
    </row>
    <row r="59" spans="1:12" ht="15" customHeight="1" x14ac:dyDescent="0.35">
      <c r="A59" s="165"/>
      <c r="B59" s="172" t="s">
        <v>140</v>
      </c>
      <c r="C59" s="490">
        <v>26372</v>
      </c>
      <c r="D59" s="264">
        <v>30959</v>
      </c>
      <c r="E59" s="491"/>
      <c r="F59" s="174">
        <v>4587</v>
      </c>
      <c r="G59" s="84">
        <v>17.393447595935083</v>
      </c>
      <c r="I59" s="176"/>
      <c r="J59" s="96"/>
      <c r="K59" s="96"/>
    </row>
    <row r="60" spans="1:12" ht="15" customHeight="1" x14ac:dyDescent="0.35">
      <c r="A60" s="165"/>
      <c r="B60" s="172" t="s">
        <v>141</v>
      </c>
      <c r="C60" s="490">
        <v>43269</v>
      </c>
      <c r="D60" s="264">
        <v>47626</v>
      </c>
      <c r="E60" s="491"/>
      <c r="F60" s="174">
        <v>4357</v>
      </c>
      <c r="G60" s="84">
        <v>10.069564815456793</v>
      </c>
      <c r="I60" s="176"/>
      <c r="J60" s="96"/>
      <c r="K60" s="96"/>
    </row>
    <row r="61" spans="1:12" ht="8.25" customHeight="1" x14ac:dyDescent="0.35">
      <c r="A61" s="178"/>
      <c r="B61" s="161"/>
      <c r="C61" s="442"/>
      <c r="D61" s="443"/>
      <c r="E61" s="163"/>
      <c r="F61" s="179"/>
      <c r="G61" s="486"/>
    </row>
    <row r="62" spans="1:12" ht="15.5" x14ac:dyDescent="0.35">
      <c r="A62" s="86">
        <v>8</v>
      </c>
      <c r="B62" s="137" t="s">
        <v>142</v>
      </c>
      <c r="C62" s="423">
        <v>502668</v>
      </c>
      <c r="D62" s="424">
        <v>503072</v>
      </c>
      <c r="E62" s="425"/>
      <c r="F62" s="492">
        <v>404</v>
      </c>
      <c r="G62" s="432">
        <v>8.0371139599099209E-2</v>
      </c>
      <c r="H62" s="96"/>
      <c r="I62" s="96"/>
      <c r="L62" s="96"/>
    </row>
    <row r="63" spans="1:12" ht="15.5" x14ac:dyDescent="0.35">
      <c r="A63" s="86"/>
      <c r="B63" s="122" t="s">
        <v>143</v>
      </c>
      <c r="C63" s="266">
        <v>2378</v>
      </c>
      <c r="D63" s="428">
        <v>404</v>
      </c>
      <c r="E63" s="156"/>
      <c r="F63" s="493">
        <v>-1974</v>
      </c>
      <c r="G63" s="494">
        <v>-83.010933557611438</v>
      </c>
    </row>
    <row r="64" spans="1:12" ht="15.5" x14ac:dyDescent="0.35">
      <c r="A64" s="99"/>
      <c r="B64" s="186" t="s">
        <v>144</v>
      </c>
      <c r="C64" s="495">
        <v>21.30665092126295</v>
      </c>
      <c r="D64" s="496">
        <v>20.063900159092331</v>
      </c>
      <c r="E64" s="133"/>
      <c r="F64" s="497">
        <v>-1.2427507621706191</v>
      </c>
      <c r="G64" s="498"/>
    </row>
    <row r="65" spans="1:12" ht="12" customHeight="1" x14ac:dyDescent="0.35">
      <c r="A65" s="820">
        <v>9</v>
      </c>
      <c r="B65" s="810" t="s">
        <v>145</v>
      </c>
      <c r="C65" s="191"/>
      <c r="D65" s="499"/>
      <c r="E65" s="193"/>
      <c r="F65" s="194"/>
      <c r="G65" s="500"/>
    </row>
    <row r="66" spans="1:12" ht="16.5" customHeight="1" x14ac:dyDescent="0.35">
      <c r="A66" s="821"/>
      <c r="B66" s="813"/>
      <c r="C66" s="196"/>
      <c r="D66" s="501"/>
      <c r="E66" s="198"/>
      <c r="F66" s="199"/>
      <c r="G66" s="460"/>
    </row>
    <row r="67" spans="1:12" ht="18.75" customHeight="1" x14ac:dyDescent="0.35">
      <c r="A67" s="821"/>
      <c r="B67" s="200" t="s">
        <v>146</v>
      </c>
      <c r="C67" s="471">
        <v>26.520648675593112</v>
      </c>
      <c r="D67" s="472">
        <v>26.189652896345901</v>
      </c>
      <c r="E67" s="145"/>
      <c r="F67" s="502">
        <v>-0.33099577924721046</v>
      </c>
      <c r="G67" s="204"/>
      <c r="I67" s="205"/>
      <c r="J67" s="205"/>
      <c r="K67" s="206"/>
    </row>
    <row r="68" spans="1:12" ht="15" customHeight="1" x14ac:dyDescent="0.35">
      <c r="A68" s="822"/>
      <c r="B68" s="130" t="s">
        <v>147</v>
      </c>
      <c r="C68" s="503">
        <v>22.962696815932741</v>
      </c>
      <c r="D68" s="504">
        <v>24.100010496360404</v>
      </c>
      <c r="E68" s="149"/>
      <c r="F68" s="505">
        <v>1.1373136804276633</v>
      </c>
      <c r="G68" s="135"/>
    </row>
    <row r="69" spans="1:12" ht="30.75" customHeight="1" x14ac:dyDescent="0.3">
      <c r="A69" s="136">
        <v>10</v>
      </c>
      <c r="B69" s="211" t="s">
        <v>148</v>
      </c>
      <c r="C69" s="506">
        <v>5457.1321061571398</v>
      </c>
      <c r="D69" s="507">
        <v>6072.3996315571421</v>
      </c>
      <c r="E69" s="508"/>
      <c r="F69" s="509">
        <v>615.26752540000234</v>
      </c>
      <c r="G69" s="510">
        <v>11.274558017494428</v>
      </c>
      <c r="I69" s="205"/>
      <c r="J69" s="205"/>
      <c r="L69" s="206">
        <v>0</v>
      </c>
    </row>
    <row r="70" spans="1:12" ht="24" customHeight="1" x14ac:dyDescent="0.3">
      <c r="A70" s="160"/>
      <c r="B70" s="216" t="s">
        <v>149</v>
      </c>
      <c r="C70" s="511">
        <v>569.75053687999934</v>
      </c>
      <c r="D70" s="512">
        <v>615.26752540000234</v>
      </c>
      <c r="E70" s="513"/>
      <c r="F70" s="514">
        <v>45.516988520002997</v>
      </c>
      <c r="G70" s="515">
        <v>7.9889329756945484</v>
      </c>
    </row>
    <row r="71" spans="1:12" ht="31.5" customHeight="1" x14ac:dyDescent="0.3">
      <c r="A71" s="136">
        <v>11</v>
      </c>
      <c r="B71" s="211" t="s">
        <v>150</v>
      </c>
      <c r="C71" s="506">
        <v>6863.3548595299999</v>
      </c>
      <c r="D71" s="507">
        <v>7397.5854359200002</v>
      </c>
      <c r="E71" s="508"/>
      <c r="F71" s="509">
        <v>534.23057639000035</v>
      </c>
      <c r="G71" s="510">
        <v>7.7838110854519371</v>
      </c>
      <c r="H71" s="221"/>
    </row>
    <row r="72" spans="1:12" ht="15" customHeight="1" x14ac:dyDescent="0.3">
      <c r="A72" s="222"/>
      <c r="B72" s="223"/>
      <c r="C72" s="224"/>
      <c r="D72" s="225"/>
      <c r="E72" s="226"/>
      <c r="F72" s="227"/>
      <c r="G72" s="510"/>
      <c r="H72" s="229"/>
    </row>
    <row r="73" spans="1:12" ht="15" customHeight="1" x14ac:dyDescent="0.3">
      <c r="A73" s="222"/>
      <c r="B73" s="122" t="s">
        <v>151</v>
      </c>
      <c r="C73" s="224">
        <v>2909.1787450316992</v>
      </c>
      <c r="D73" s="225">
        <v>2950.3612923131163</v>
      </c>
      <c r="E73" s="226"/>
      <c r="F73" s="516">
        <v>41.182547281417101</v>
      </c>
      <c r="G73" s="235">
        <v>1.4156073205109425</v>
      </c>
    </row>
    <row r="74" spans="1:12" ht="15" customHeight="1" x14ac:dyDescent="0.3">
      <c r="A74" s="222"/>
      <c r="B74" s="122"/>
      <c r="C74" s="224"/>
      <c r="D74" s="225"/>
      <c r="E74" s="226"/>
      <c r="F74" s="227"/>
      <c r="G74" s="235"/>
    </row>
    <row r="75" spans="1:12" ht="15" customHeight="1" x14ac:dyDescent="0.3">
      <c r="A75" s="236"/>
      <c r="B75" s="122" t="s">
        <v>152</v>
      </c>
      <c r="C75" s="511">
        <v>1098.2664608284945</v>
      </c>
      <c r="D75" s="512">
        <v>1183.7534473542637</v>
      </c>
      <c r="E75" s="513"/>
      <c r="F75" s="514">
        <v>85.486986525769225</v>
      </c>
      <c r="G75" s="515">
        <v>7.7838110854519567</v>
      </c>
    </row>
    <row r="76" spans="1:12" ht="15" customHeight="1" x14ac:dyDescent="0.3">
      <c r="A76" s="806">
        <v>12</v>
      </c>
      <c r="B76" s="810" t="s">
        <v>153</v>
      </c>
      <c r="C76" s="517">
        <v>29.770647561735224</v>
      </c>
      <c r="D76" s="518">
        <v>31.099540232061479</v>
      </c>
      <c r="E76" s="519"/>
      <c r="F76" s="520">
        <v>1.3288926703262547</v>
      </c>
      <c r="G76" s="521"/>
    </row>
    <row r="77" spans="1:12" ht="18.75" customHeight="1" x14ac:dyDescent="0.35">
      <c r="A77" s="809"/>
      <c r="B77" s="811"/>
      <c r="C77" s="522"/>
      <c r="D77" s="523"/>
      <c r="E77" s="524"/>
      <c r="F77" s="243"/>
      <c r="G77" s="465"/>
    </row>
    <row r="78" spans="1:12" ht="15" hidden="1" customHeight="1" x14ac:dyDescent="0.35">
      <c r="A78" s="806">
        <v>11</v>
      </c>
      <c r="B78" s="810" t="s">
        <v>239</v>
      </c>
      <c r="C78" s="525"/>
      <c r="D78" s="526"/>
      <c r="E78" s="527"/>
      <c r="F78" s="528"/>
      <c r="G78" s="529"/>
    </row>
    <row r="79" spans="1:12" ht="22.5" hidden="1" customHeight="1" x14ac:dyDescent="0.35">
      <c r="A79" s="809"/>
      <c r="B79" s="811"/>
      <c r="C79" s="530" t="s">
        <v>206</v>
      </c>
      <c r="D79" s="531" t="s">
        <v>206</v>
      </c>
      <c r="E79" s="532"/>
      <c r="F79" s="533" t="s">
        <v>206</v>
      </c>
      <c r="G79" s="534"/>
    </row>
    <row r="80" spans="1:12" ht="15" hidden="1" customHeight="1" x14ac:dyDescent="0.35">
      <c r="A80" s="806">
        <v>12</v>
      </c>
      <c r="B80" s="810" t="s">
        <v>240</v>
      </c>
      <c r="C80" s="525"/>
      <c r="D80" s="526"/>
      <c r="E80" s="527"/>
      <c r="F80" s="528"/>
      <c r="G80" s="535"/>
    </row>
    <row r="81" spans="1:9" ht="21" hidden="1" customHeight="1" x14ac:dyDescent="0.35">
      <c r="A81" s="809"/>
      <c r="B81" s="811"/>
      <c r="C81" s="530" t="s">
        <v>206</v>
      </c>
      <c r="D81" s="531" t="s">
        <v>206</v>
      </c>
      <c r="E81" s="532"/>
      <c r="F81" s="536" t="s">
        <v>206</v>
      </c>
      <c r="G81" s="537"/>
    </row>
    <row r="82" spans="1:9" ht="23.25" customHeight="1" x14ac:dyDescent="0.3">
      <c r="A82" s="86">
        <v>13</v>
      </c>
      <c r="B82" s="244" t="s">
        <v>154</v>
      </c>
      <c r="C82" s="538">
        <v>6834.8735829699135</v>
      </c>
      <c r="D82" s="539">
        <v>7321.1034471033827</v>
      </c>
      <c r="E82" s="540"/>
      <c r="F82" s="541">
        <v>486.22986413346916</v>
      </c>
      <c r="G82" s="510">
        <v>7.1139554847800257</v>
      </c>
    </row>
    <row r="83" spans="1:9" ht="24" customHeight="1" x14ac:dyDescent="0.35">
      <c r="A83" s="222"/>
      <c r="B83" s="249" t="s">
        <v>155</v>
      </c>
      <c r="C83" s="471"/>
      <c r="D83" s="472"/>
      <c r="E83" s="145"/>
      <c r="F83" s="199"/>
      <c r="G83" s="542"/>
    </row>
    <row r="84" spans="1:9" ht="15" customHeight="1" x14ac:dyDescent="0.35">
      <c r="A84" s="222"/>
      <c r="B84" s="251" t="s">
        <v>156</v>
      </c>
      <c r="C84" s="373">
        <v>5719.4509363324596</v>
      </c>
      <c r="D84" s="374">
        <v>6009.2032453283564</v>
      </c>
      <c r="E84" s="253"/>
      <c r="F84" s="375">
        <v>289.75230899589678</v>
      </c>
      <c r="G84" s="250">
        <v>5.0660861019938661</v>
      </c>
      <c r="I84" s="254"/>
    </row>
    <row r="85" spans="1:9" ht="15" customHeight="1" x14ac:dyDescent="0.35">
      <c r="A85" s="222"/>
      <c r="B85" s="251" t="s">
        <v>157</v>
      </c>
      <c r="C85" s="543">
        <v>83.680420228741426</v>
      </c>
      <c r="D85" s="544">
        <v>82.080567345430921</v>
      </c>
      <c r="E85" s="545"/>
      <c r="F85" s="203">
        <v>-1.5998528833105041</v>
      </c>
      <c r="G85" s="546"/>
      <c r="H85" s="205"/>
    </row>
    <row r="86" spans="1:9" ht="15" customHeight="1" x14ac:dyDescent="0.35">
      <c r="A86" s="222"/>
      <c r="B86" s="251" t="s">
        <v>158</v>
      </c>
      <c r="C86" s="373">
        <v>553.08963422192403</v>
      </c>
      <c r="D86" s="374">
        <v>433.2923227018</v>
      </c>
      <c r="E86" s="253"/>
      <c r="F86" s="203">
        <v>-119.79731152012403</v>
      </c>
      <c r="G86" s="84">
        <v>-21.659655887178687</v>
      </c>
    </row>
    <row r="87" spans="1:9" ht="15" customHeight="1" x14ac:dyDescent="0.35">
      <c r="A87" s="222"/>
      <c r="B87" s="251" t="s">
        <v>157</v>
      </c>
      <c r="C87" s="543">
        <v>8.0921706525783836</v>
      </c>
      <c r="D87" s="544">
        <v>5.9184018615832219</v>
      </c>
      <c r="E87" s="545"/>
      <c r="F87" s="203">
        <v>-2.1737687909951617</v>
      </c>
      <c r="G87" s="84"/>
    </row>
    <row r="88" spans="1:9" ht="15" customHeight="1" x14ac:dyDescent="0.35">
      <c r="A88" s="222"/>
      <c r="B88" s="251" t="s">
        <v>159</v>
      </c>
      <c r="C88" s="373">
        <v>50.931247517499997</v>
      </c>
      <c r="D88" s="374">
        <v>53.435462664999996</v>
      </c>
      <c r="E88" s="253"/>
      <c r="F88" s="203">
        <v>2.5042151474999983</v>
      </c>
      <c r="G88" s="84">
        <v>4.9168541309331744</v>
      </c>
    </row>
    <row r="89" spans="1:9" ht="15" customHeight="1" x14ac:dyDescent="0.35">
      <c r="A89" s="222"/>
      <c r="B89" s="251" t="s">
        <v>157</v>
      </c>
      <c r="C89" s="543">
        <v>0.74516736702201258</v>
      </c>
      <c r="D89" s="544">
        <v>0.72988263382812746</v>
      </c>
      <c r="E89" s="545"/>
      <c r="F89" s="502">
        <v>-1.5284733193885125E-2</v>
      </c>
      <c r="G89" s="84"/>
      <c r="H89" s="205"/>
    </row>
    <row r="90" spans="1:9" ht="15" customHeight="1" x14ac:dyDescent="0.35">
      <c r="A90" s="222"/>
      <c r="B90" s="257" t="s">
        <v>160</v>
      </c>
      <c r="C90" s="373">
        <v>24.216529717499998</v>
      </c>
      <c r="D90" s="374">
        <v>41.498426600000002</v>
      </c>
      <c r="E90" s="253"/>
      <c r="F90" s="203">
        <v>17.281896882500003</v>
      </c>
      <c r="G90" s="84">
        <v>71.364052092118285</v>
      </c>
      <c r="H90" s="205"/>
    </row>
    <row r="91" spans="1:9" ht="15" customHeight="1" x14ac:dyDescent="0.35">
      <c r="A91" s="222"/>
      <c r="B91" s="251" t="s">
        <v>157</v>
      </c>
      <c r="C91" s="543">
        <v>0.35430837781460978</v>
      </c>
      <c r="D91" s="544">
        <v>0.5668329494294877</v>
      </c>
      <c r="E91" s="545"/>
      <c r="F91" s="203">
        <v>0.21252457161487792</v>
      </c>
      <c r="G91" s="261"/>
      <c r="H91" s="205"/>
    </row>
    <row r="92" spans="1:9" ht="15" customHeight="1" x14ac:dyDescent="0.35">
      <c r="A92" s="222"/>
      <c r="B92" s="251" t="s">
        <v>161</v>
      </c>
      <c r="C92" s="373">
        <v>442.09037619748</v>
      </c>
      <c r="D92" s="544">
        <v>602.79105773933998</v>
      </c>
      <c r="E92" s="545"/>
      <c r="F92" s="547">
        <v>160.70068154185998</v>
      </c>
      <c r="G92" s="250">
        <v>36.350187697837519</v>
      </c>
      <c r="H92" s="205"/>
    </row>
    <row r="93" spans="1:9" ht="15" customHeight="1" x14ac:dyDescent="0.35">
      <c r="A93" s="222"/>
      <c r="B93" s="251" t="s">
        <v>157</v>
      </c>
      <c r="C93" s="543">
        <v>6.4681573233338616</v>
      </c>
      <c r="D93" s="544">
        <v>8.2336093472062064</v>
      </c>
      <c r="E93" s="545"/>
      <c r="F93" s="547">
        <v>1.7654520238723448</v>
      </c>
      <c r="G93" s="261"/>
      <c r="H93" s="205"/>
    </row>
    <row r="94" spans="1:9" ht="15" customHeight="1" x14ac:dyDescent="0.35">
      <c r="A94" s="222"/>
      <c r="B94" s="251" t="s">
        <v>162</v>
      </c>
      <c r="C94" s="373">
        <v>45.094858983050798</v>
      </c>
      <c r="D94" s="544">
        <v>180.88293206888642</v>
      </c>
      <c r="E94" s="545"/>
      <c r="F94" s="203">
        <v>135.78807308583561</v>
      </c>
      <c r="G94" s="261"/>
      <c r="H94" s="205"/>
    </row>
    <row r="95" spans="1:9" ht="15" customHeight="1" x14ac:dyDescent="0.35">
      <c r="A95" s="222"/>
      <c r="B95" s="251" t="s">
        <v>157</v>
      </c>
      <c r="C95" s="373">
        <v>0.65977605050971577</v>
      </c>
      <c r="D95" s="374">
        <v>2.4707058625220397</v>
      </c>
      <c r="E95" s="491"/>
      <c r="F95" s="547">
        <v>1.8109298120123238</v>
      </c>
      <c r="G95" s="542"/>
      <c r="H95" s="205"/>
    </row>
    <row r="96" spans="1:9" ht="15" customHeight="1" x14ac:dyDescent="0.35">
      <c r="A96" s="222"/>
      <c r="B96" s="249" t="s">
        <v>163</v>
      </c>
      <c r="C96" s="490" t="s">
        <v>65</v>
      </c>
      <c r="D96" s="264" t="s">
        <v>65</v>
      </c>
      <c r="E96" s="491"/>
      <c r="F96" s="265"/>
      <c r="G96" s="542"/>
    </row>
    <row r="97" spans="1:7" ht="15" customHeight="1" x14ac:dyDescent="0.35">
      <c r="A97" s="222"/>
      <c r="B97" s="249"/>
      <c r="C97" s="490"/>
      <c r="D97" s="264"/>
      <c r="E97" s="491"/>
      <c r="F97" s="265"/>
      <c r="G97" s="542"/>
    </row>
    <row r="98" spans="1:7" ht="15" customHeight="1" x14ac:dyDescent="0.35">
      <c r="A98" s="222"/>
      <c r="B98" s="251" t="s">
        <v>164</v>
      </c>
      <c r="C98" s="373">
        <v>6834.8735829699199</v>
      </c>
      <c r="D98" s="374">
        <v>7321.1034471033827</v>
      </c>
      <c r="E98" s="253"/>
      <c r="F98" s="375">
        <v>486.2298641334628</v>
      </c>
      <c r="G98" s="250">
        <v>7.1139554847799253</v>
      </c>
    </row>
    <row r="99" spans="1:7" ht="15" customHeight="1" x14ac:dyDescent="0.35">
      <c r="A99" s="222"/>
      <c r="B99" s="251" t="s">
        <v>157</v>
      </c>
      <c r="C99" s="373">
        <v>100.00000000000009</v>
      </c>
      <c r="D99" s="374">
        <v>100</v>
      </c>
      <c r="E99" s="253"/>
      <c r="F99" s="375">
        <v>0</v>
      </c>
      <c r="G99" s="250"/>
    </row>
    <row r="100" spans="1:7" ht="15" customHeight="1" x14ac:dyDescent="0.35">
      <c r="A100" s="222"/>
      <c r="B100" s="251" t="s">
        <v>165</v>
      </c>
      <c r="C100" s="373">
        <v>0</v>
      </c>
      <c r="D100" s="374">
        <v>0</v>
      </c>
      <c r="E100" s="253"/>
      <c r="F100" s="375">
        <v>0</v>
      </c>
      <c r="G100" s="268" t="s">
        <v>241</v>
      </c>
    </row>
    <row r="101" spans="1:7" ht="15" customHeight="1" x14ac:dyDescent="0.35">
      <c r="A101" s="269"/>
      <c r="B101" s="251" t="s">
        <v>157</v>
      </c>
      <c r="C101" s="373">
        <v>0</v>
      </c>
      <c r="D101" s="374">
        <v>0</v>
      </c>
      <c r="E101" s="253"/>
      <c r="F101" s="375">
        <v>0</v>
      </c>
      <c r="G101" s="84"/>
    </row>
    <row r="102" spans="1:7" ht="11.25" customHeight="1" x14ac:dyDescent="0.35">
      <c r="A102" s="270"/>
      <c r="B102" s="271"/>
      <c r="C102" s="548"/>
      <c r="D102" s="362"/>
      <c r="E102" s="549"/>
      <c r="F102" s="210"/>
      <c r="G102" s="93"/>
    </row>
    <row r="103" spans="1:7" ht="18" customHeight="1" x14ac:dyDescent="0.3">
      <c r="A103" s="274">
        <v>14</v>
      </c>
      <c r="B103" s="275" t="s">
        <v>166</v>
      </c>
      <c r="C103" s="550">
        <v>1.51</v>
      </c>
      <c r="D103" s="551">
        <v>1.0985</v>
      </c>
      <c r="E103" s="552"/>
      <c r="F103" s="553">
        <v>-0.41149999999999998</v>
      </c>
      <c r="G103" s="554"/>
    </row>
    <row r="104" spans="1:7" ht="17.25" customHeight="1" x14ac:dyDescent="0.3">
      <c r="A104" s="160">
        <v>15</v>
      </c>
      <c r="B104" s="244" t="s">
        <v>167</v>
      </c>
      <c r="C104" s="555">
        <v>30.701647348795923</v>
      </c>
      <c r="D104" s="556">
        <v>31.421284075868016</v>
      </c>
      <c r="E104" s="557"/>
      <c r="F104" s="558">
        <v>0.7196367270720927</v>
      </c>
      <c r="G104" s="510">
        <v>2.3439677972208739</v>
      </c>
    </row>
    <row r="105" spans="1:7" ht="15" customHeight="1" x14ac:dyDescent="0.35">
      <c r="A105" s="806">
        <v>16</v>
      </c>
      <c r="B105" s="810" t="s">
        <v>168</v>
      </c>
      <c r="C105" s="191"/>
      <c r="D105" s="499"/>
      <c r="E105" s="193"/>
      <c r="F105" s="194"/>
      <c r="G105" s="500"/>
    </row>
    <row r="106" spans="1:7" ht="5.25" customHeight="1" x14ac:dyDescent="0.35">
      <c r="A106" s="812"/>
      <c r="B106" s="813"/>
      <c r="C106" s="196"/>
      <c r="D106" s="501"/>
      <c r="E106" s="198"/>
      <c r="F106" s="199"/>
      <c r="G106" s="460"/>
    </row>
    <row r="107" spans="1:7" ht="5.25" customHeight="1" x14ac:dyDescent="0.35">
      <c r="A107" s="812"/>
      <c r="B107" s="285"/>
      <c r="C107" s="196"/>
      <c r="D107" s="501"/>
      <c r="E107" s="198"/>
      <c r="F107" s="199"/>
      <c r="G107" s="460"/>
    </row>
    <row r="108" spans="1:7" ht="20.25" customHeight="1" x14ac:dyDescent="0.35">
      <c r="A108" s="812"/>
      <c r="B108" s="257" t="s">
        <v>169</v>
      </c>
      <c r="C108" s="555">
        <v>5.2009009900000001</v>
      </c>
      <c r="D108" s="556">
        <v>2.3290508872749136</v>
      </c>
      <c r="E108" s="557"/>
      <c r="F108" s="559">
        <v>-2.8718501027250865</v>
      </c>
      <c r="G108" s="460"/>
    </row>
    <row r="109" spans="1:7" ht="30" customHeight="1" x14ac:dyDescent="0.35">
      <c r="A109" s="809"/>
      <c r="B109" s="288" t="s">
        <v>170</v>
      </c>
      <c r="C109" s="560">
        <v>4.3866848477571496</v>
      </c>
      <c r="D109" s="556">
        <v>1.5269876845668273</v>
      </c>
      <c r="E109" s="561"/>
      <c r="F109" s="562">
        <v>-2.8596971631903223</v>
      </c>
      <c r="G109" s="465"/>
    </row>
    <row r="110" spans="1:7" ht="36" customHeight="1" x14ac:dyDescent="0.3">
      <c r="A110" s="136">
        <v>17</v>
      </c>
      <c r="B110" s="211" t="s">
        <v>171</v>
      </c>
      <c r="C110" s="563">
        <v>20.978569884000002</v>
      </c>
      <c r="D110" s="564">
        <v>20.123951049999999</v>
      </c>
      <c r="E110" s="247"/>
      <c r="F110" s="248">
        <v>-0.8546188340000036</v>
      </c>
      <c r="G110" s="565">
        <v>-4.0737707037494815</v>
      </c>
    </row>
    <row r="111" spans="1:7" ht="15" customHeight="1" x14ac:dyDescent="0.35">
      <c r="A111" s="222"/>
      <c r="B111" s="153" t="s">
        <v>172</v>
      </c>
      <c r="C111" s="373">
        <v>10.666226374000001</v>
      </c>
      <c r="D111" s="225">
        <v>9.1716075399999983</v>
      </c>
      <c r="E111" s="226"/>
      <c r="F111" s="234">
        <v>-1.4946188340000024</v>
      </c>
      <c r="G111" s="250">
        <v>-14.012629974207993</v>
      </c>
    </row>
    <row r="112" spans="1:7" ht="24.75" customHeight="1" x14ac:dyDescent="0.3">
      <c r="A112" s="236"/>
      <c r="B112" s="293" t="s">
        <v>173</v>
      </c>
      <c r="C112" s="511">
        <v>10.31234351</v>
      </c>
      <c r="D112" s="512">
        <v>10.95234351</v>
      </c>
      <c r="E112" s="566"/>
      <c r="F112" s="295">
        <v>0.64000000000000057</v>
      </c>
      <c r="G112" s="515">
        <v>6.2061547831429884</v>
      </c>
    </row>
    <row r="113" spans="1:9" ht="15" customHeight="1" x14ac:dyDescent="0.3">
      <c r="A113" s="806">
        <v>18</v>
      </c>
      <c r="B113" s="151" t="s">
        <v>174</v>
      </c>
      <c r="C113" s="487">
        <v>146485</v>
      </c>
      <c r="D113" s="488">
        <v>148181</v>
      </c>
      <c r="E113" s="168"/>
      <c r="F113" s="567">
        <v>1696</v>
      </c>
      <c r="G113" s="568">
        <v>1.1577977267296993</v>
      </c>
    </row>
    <row r="114" spans="1:9" ht="15" customHeight="1" x14ac:dyDescent="0.3">
      <c r="A114" s="812"/>
      <c r="B114" s="299" t="s">
        <v>175</v>
      </c>
      <c r="C114" s="487">
        <v>89730</v>
      </c>
      <c r="D114" s="488">
        <v>90669</v>
      </c>
      <c r="E114" s="168"/>
      <c r="F114" s="567">
        <v>939</v>
      </c>
      <c r="G114" s="568">
        <v>1.0464727515880976</v>
      </c>
    </row>
    <row r="115" spans="1:9" ht="15" customHeight="1" x14ac:dyDescent="0.3">
      <c r="A115" s="812"/>
      <c r="B115" s="142" t="s">
        <v>176</v>
      </c>
      <c r="C115" s="569">
        <v>70825</v>
      </c>
      <c r="D115" s="570">
        <v>70625</v>
      </c>
      <c r="E115" s="306"/>
      <c r="F115" s="567">
        <v>-200</v>
      </c>
      <c r="G115" s="571">
        <v>-0.28238616307800918</v>
      </c>
    </row>
    <row r="116" spans="1:9" ht="15" customHeight="1" x14ac:dyDescent="0.3">
      <c r="A116" s="812"/>
      <c r="B116" s="79" t="s">
        <v>105</v>
      </c>
      <c r="C116" s="572">
        <v>37589</v>
      </c>
      <c r="D116" s="573">
        <v>37773</v>
      </c>
      <c r="E116" s="574"/>
      <c r="F116" s="98">
        <v>184</v>
      </c>
      <c r="G116" s="575">
        <v>0.48950490835084731</v>
      </c>
    </row>
    <row r="117" spans="1:9" ht="15" customHeight="1" x14ac:dyDescent="0.3">
      <c r="A117" s="812"/>
      <c r="B117" s="79" t="s">
        <v>177</v>
      </c>
      <c r="C117" s="572">
        <v>33236</v>
      </c>
      <c r="D117" s="573">
        <v>32852</v>
      </c>
      <c r="E117" s="574"/>
      <c r="F117" s="576">
        <v>-384</v>
      </c>
      <c r="G117" s="575">
        <v>-1.1553736911782404</v>
      </c>
    </row>
    <row r="118" spans="1:9" ht="15" customHeight="1" x14ac:dyDescent="0.3">
      <c r="A118" s="812"/>
      <c r="B118" s="142" t="s">
        <v>178</v>
      </c>
      <c r="C118" s="569">
        <v>18905</v>
      </c>
      <c r="D118" s="570">
        <v>20044</v>
      </c>
      <c r="E118" s="306"/>
      <c r="F118" s="577">
        <v>1139</v>
      </c>
      <c r="G118" s="571">
        <v>6.0248611478444856</v>
      </c>
      <c r="I118" s="96"/>
    </row>
    <row r="119" spans="1:9" ht="15" customHeight="1" x14ac:dyDescent="0.3">
      <c r="A119" s="812"/>
      <c r="B119" s="309"/>
      <c r="C119" s="578"/>
      <c r="D119" s="317"/>
      <c r="E119" s="312"/>
      <c r="F119" s="579"/>
      <c r="G119" s="571"/>
    </row>
    <row r="120" spans="1:9" ht="15" customHeight="1" x14ac:dyDescent="0.3">
      <c r="A120" s="812"/>
      <c r="B120" s="299" t="s">
        <v>179</v>
      </c>
      <c r="C120" s="487">
        <v>2851</v>
      </c>
      <c r="D120" s="488">
        <v>2850</v>
      </c>
      <c r="E120" s="168"/>
      <c r="F120" s="580">
        <v>-1</v>
      </c>
      <c r="G120" s="568">
        <v>-3.5075412136092596E-2</v>
      </c>
    </row>
    <row r="121" spans="1:9" ht="15" customHeight="1" x14ac:dyDescent="0.3">
      <c r="A121" s="812"/>
      <c r="B121" s="142" t="s">
        <v>176</v>
      </c>
      <c r="C121" s="569">
        <v>958</v>
      </c>
      <c r="D121" s="570">
        <v>907</v>
      </c>
      <c r="E121" s="306"/>
      <c r="F121" s="581">
        <v>-51</v>
      </c>
      <c r="G121" s="571">
        <v>-5.3235908141962422</v>
      </c>
    </row>
    <row r="122" spans="1:9" ht="15" customHeight="1" x14ac:dyDescent="0.3">
      <c r="A122" s="812"/>
      <c r="B122" s="79" t="s">
        <v>105</v>
      </c>
      <c r="C122" s="572">
        <v>604</v>
      </c>
      <c r="D122" s="573">
        <v>591</v>
      </c>
      <c r="E122" s="574"/>
      <c r="F122" s="98">
        <v>-13</v>
      </c>
      <c r="G122" s="575">
        <v>-2.1523178807947021</v>
      </c>
    </row>
    <row r="123" spans="1:9" ht="15" customHeight="1" x14ac:dyDescent="0.3">
      <c r="A123" s="812"/>
      <c r="B123" s="79" t="s">
        <v>177</v>
      </c>
      <c r="C123" s="572">
        <v>354</v>
      </c>
      <c r="D123" s="573">
        <v>316</v>
      </c>
      <c r="E123" s="574"/>
      <c r="F123" s="98">
        <v>-38</v>
      </c>
      <c r="G123" s="575">
        <v>-10.734463276836157</v>
      </c>
    </row>
    <row r="124" spans="1:9" ht="15" customHeight="1" x14ac:dyDescent="0.3">
      <c r="A124" s="812"/>
      <c r="B124" s="142" t="s">
        <v>180</v>
      </c>
      <c r="C124" s="569">
        <v>1893</v>
      </c>
      <c r="D124" s="570">
        <v>1943</v>
      </c>
      <c r="E124" s="306"/>
      <c r="F124" s="581">
        <v>50</v>
      </c>
      <c r="G124" s="571">
        <v>2.6413100898045432</v>
      </c>
    </row>
    <row r="125" spans="1:9" ht="15" customHeight="1" x14ac:dyDescent="0.3">
      <c r="A125" s="812"/>
      <c r="B125" s="309"/>
      <c r="C125" s="487"/>
      <c r="D125" s="488"/>
      <c r="E125" s="312"/>
      <c r="F125" s="579"/>
      <c r="G125" s="318"/>
    </row>
    <row r="126" spans="1:9" ht="15" customHeight="1" x14ac:dyDescent="0.3">
      <c r="A126" s="812"/>
      <c r="B126" s="299" t="s">
        <v>181</v>
      </c>
      <c r="C126" s="487">
        <v>53904</v>
      </c>
      <c r="D126" s="488">
        <v>54662</v>
      </c>
      <c r="E126" s="168"/>
      <c r="F126" s="489">
        <v>758</v>
      </c>
      <c r="G126" s="568">
        <v>1.4062036212525972</v>
      </c>
    </row>
    <row r="127" spans="1:9" ht="15" customHeight="1" x14ac:dyDescent="0.3">
      <c r="A127" s="812"/>
      <c r="B127" s="320" t="s">
        <v>104</v>
      </c>
      <c r="C127" s="569">
        <v>28553</v>
      </c>
      <c r="D127" s="570">
        <v>28479</v>
      </c>
      <c r="E127" s="306"/>
      <c r="F127" s="582">
        <v>-74</v>
      </c>
      <c r="G127" s="571">
        <v>-0.25916716282001889</v>
      </c>
    </row>
    <row r="128" spans="1:9" ht="15" customHeight="1" x14ac:dyDescent="0.3">
      <c r="A128" s="812"/>
      <c r="B128" s="79" t="s">
        <v>105</v>
      </c>
      <c r="C128" s="572">
        <v>15624</v>
      </c>
      <c r="D128" s="573">
        <v>15271</v>
      </c>
      <c r="E128" s="574"/>
      <c r="F128" s="582">
        <v>-353</v>
      </c>
      <c r="G128" s="575">
        <v>-2.2593445980542755</v>
      </c>
    </row>
    <row r="129" spans="1:9" ht="15" customHeight="1" x14ac:dyDescent="0.3">
      <c r="A129" s="812"/>
      <c r="B129" s="79" t="s">
        <v>177</v>
      </c>
      <c r="C129" s="572">
        <v>12929</v>
      </c>
      <c r="D129" s="573">
        <v>13208</v>
      </c>
      <c r="E129" s="574"/>
      <c r="F129" s="582">
        <v>279</v>
      </c>
      <c r="G129" s="575">
        <v>2.1579395158171555</v>
      </c>
    </row>
    <row r="130" spans="1:9" ht="15" customHeight="1" x14ac:dyDescent="0.3">
      <c r="A130" s="812"/>
      <c r="B130" s="320" t="s">
        <v>109</v>
      </c>
      <c r="C130" s="569">
        <v>25351</v>
      </c>
      <c r="D130" s="570">
        <v>26183</v>
      </c>
      <c r="E130" s="306"/>
      <c r="F130" s="577">
        <v>832</v>
      </c>
      <c r="G130" s="571">
        <v>3.281921817679776</v>
      </c>
    </row>
    <row r="131" spans="1:9" ht="15" customHeight="1" x14ac:dyDescent="0.35">
      <c r="A131" s="809"/>
      <c r="B131" s="583"/>
      <c r="C131" s="584"/>
      <c r="D131" s="585"/>
      <c r="E131" s="586"/>
      <c r="F131" s="587"/>
      <c r="G131" s="588"/>
    </row>
    <row r="132" spans="1:9" ht="36" customHeight="1" x14ac:dyDescent="0.3">
      <c r="A132" s="812">
        <v>19</v>
      </c>
      <c r="B132" s="151" t="s">
        <v>182</v>
      </c>
      <c r="C132" s="589">
        <v>19557</v>
      </c>
      <c r="D132" s="590">
        <v>21092</v>
      </c>
      <c r="E132" s="389"/>
      <c r="F132" s="322">
        <v>1535</v>
      </c>
      <c r="G132" s="591">
        <v>7.8488520734263947</v>
      </c>
    </row>
    <row r="133" spans="1:9" ht="15" customHeight="1" x14ac:dyDescent="0.3">
      <c r="A133" s="812"/>
      <c r="B133" s="592" t="s">
        <v>104</v>
      </c>
      <c r="C133" s="487">
        <v>5586</v>
      </c>
      <c r="D133" s="488">
        <v>5822</v>
      </c>
      <c r="E133" s="168"/>
      <c r="F133" s="322">
        <v>236</v>
      </c>
      <c r="G133" s="591">
        <v>4.2248478338703901</v>
      </c>
      <c r="I133" s="96"/>
    </row>
    <row r="134" spans="1:9" ht="15" customHeight="1" x14ac:dyDescent="0.3">
      <c r="A134" s="812"/>
      <c r="B134" s="593" t="s">
        <v>105</v>
      </c>
      <c r="C134" s="589">
        <v>1746</v>
      </c>
      <c r="D134" s="590">
        <v>1815</v>
      </c>
      <c r="E134" s="389"/>
      <c r="F134" s="322">
        <v>69</v>
      </c>
      <c r="G134" s="591">
        <v>3.9518900343642609</v>
      </c>
    </row>
    <row r="135" spans="1:9" ht="15" customHeight="1" x14ac:dyDescent="0.3">
      <c r="A135" s="812"/>
      <c r="B135" s="594" t="s">
        <v>183</v>
      </c>
      <c r="C135" s="572">
        <v>1129</v>
      </c>
      <c r="D135" s="573">
        <v>1180</v>
      </c>
      <c r="E135" s="574"/>
      <c r="F135" s="324">
        <v>51</v>
      </c>
      <c r="G135" s="595">
        <v>4.5172719220549151</v>
      </c>
      <c r="H135" s="96"/>
      <c r="I135" s="96"/>
    </row>
    <row r="136" spans="1:9" ht="15" customHeight="1" x14ac:dyDescent="0.3">
      <c r="A136" s="812"/>
      <c r="B136" s="594" t="s">
        <v>184</v>
      </c>
      <c r="C136" s="572">
        <v>617</v>
      </c>
      <c r="D136" s="573">
        <v>635</v>
      </c>
      <c r="E136" s="574"/>
      <c r="F136" s="324">
        <v>18</v>
      </c>
      <c r="G136" s="595">
        <v>2.9173419773095626</v>
      </c>
    </row>
    <row r="137" spans="1:9" ht="15" customHeight="1" x14ac:dyDescent="0.3">
      <c r="A137" s="812"/>
      <c r="B137" s="593" t="s">
        <v>177</v>
      </c>
      <c r="C137" s="487">
        <v>3840</v>
      </c>
      <c r="D137" s="488">
        <v>4007</v>
      </c>
      <c r="E137" s="168"/>
      <c r="F137" s="322">
        <v>167</v>
      </c>
      <c r="G137" s="591">
        <v>4.348958333333333</v>
      </c>
      <c r="H137" s="96"/>
    </row>
    <row r="138" spans="1:9" ht="15" customHeight="1" x14ac:dyDescent="0.3">
      <c r="A138" s="812"/>
      <c r="B138" s="594" t="s">
        <v>183</v>
      </c>
      <c r="C138" s="572">
        <v>2609</v>
      </c>
      <c r="D138" s="573">
        <v>2727</v>
      </c>
      <c r="E138" s="574"/>
      <c r="F138" s="324">
        <v>118</v>
      </c>
      <c r="G138" s="595">
        <v>4.522805672671522</v>
      </c>
    </row>
    <row r="139" spans="1:9" ht="15" customHeight="1" x14ac:dyDescent="0.3">
      <c r="A139" s="812"/>
      <c r="B139" s="594" t="s">
        <v>184</v>
      </c>
      <c r="C139" s="572">
        <v>1231</v>
      </c>
      <c r="D139" s="573">
        <v>1280</v>
      </c>
      <c r="E139" s="574"/>
      <c r="F139" s="324">
        <v>49</v>
      </c>
      <c r="G139" s="595">
        <v>3.9805036555645814</v>
      </c>
      <c r="H139" s="96"/>
    </row>
    <row r="140" spans="1:9" ht="15" customHeight="1" x14ac:dyDescent="0.3">
      <c r="A140" s="812"/>
      <c r="B140" s="592" t="s">
        <v>109</v>
      </c>
      <c r="C140" s="487">
        <v>13971</v>
      </c>
      <c r="D140" s="488">
        <v>15270</v>
      </c>
      <c r="E140" s="168"/>
      <c r="F140" s="322">
        <v>1299</v>
      </c>
      <c r="G140" s="591">
        <v>9.2978312218166206</v>
      </c>
    </row>
    <row r="141" spans="1:9" ht="15" customHeight="1" x14ac:dyDescent="0.3">
      <c r="A141" s="812"/>
      <c r="B141" s="594" t="s">
        <v>183</v>
      </c>
      <c r="C141" s="572">
        <v>9059</v>
      </c>
      <c r="D141" s="573">
        <v>9926</v>
      </c>
      <c r="E141" s="574"/>
      <c r="F141" s="324">
        <v>867</v>
      </c>
      <c r="G141" s="595">
        <v>9.5705927806601174</v>
      </c>
    </row>
    <row r="142" spans="1:9" ht="15" customHeight="1" x14ac:dyDescent="0.3">
      <c r="A142" s="809"/>
      <c r="B142" s="596" t="s">
        <v>184</v>
      </c>
      <c r="C142" s="597">
        <v>4912</v>
      </c>
      <c r="D142" s="598">
        <v>5344</v>
      </c>
      <c r="E142" s="599"/>
      <c r="F142" s="600">
        <v>432</v>
      </c>
      <c r="G142" s="601">
        <v>8.7947882736156355</v>
      </c>
    </row>
    <row r="143" spans="1:9" ht="41.25" customHeight="1" x14ac:dyDescent="0.3">
      <c r="A143" s="806">
        <v>20</v>
      </c>
      <c r="B143" s="151" t="s">
        <v>185</v>
      </c>
      <c r="C143" s="602">
        <v>12797</v>
      </c>
      <c r="D143" s="603">
        <v>13833</v>
      </c>
      <c r="E143" s="604"/>
      <c r="F143" s="605">
        <v>1036</v>
      </c>
      <c r="G143" s="606">
        <v>8.0956474173634447</v>
      </c>
    </row>
    <row r="144" spans="1:9" ht="15" customHeight="1" x14ac:dyDescent="0.3">
      <c r="A144" s="812"/>
      <c r="B144" s="172" t="s">
        <v>186</v>
      </c>
      <c r="C144" s="572">
        <v>1414</v>
      </c>
      <c r="D144" s="573">
        <v>1521</v>
      </c>
      <c r="E144" s="607"/>
      <c r="F144" s="324">
        <v>107</v>
      </c>
      <c r="G144" s="595">
        <v>7.5671852899575676</v>
      </c>
    </row>
    <row r="145" spans="1:7" ht="15" customHeight="1" x14ac:dyDescent="0.3">
      <c r="A145" s="812"/>
      <c r="B145" s="172" t="s">
        <v>187</v>
      </c>
      <c r="C145" s="572">
        <v>778</v>
      </c>
      <c r="D145" s="608">
        <v>835</v>
      </c>
      <c r="E145" s="607"/>
      <c r="F145" s="324">
        <v>57</v>
      </c>
      <c r="G145" s="595">
        <v>7.3264781491002573</v>
      </c>
    </row>
    <row r="146" spans="1:7" ht="15" customHeight="1" x14ac:dyDescent="0.3">
      <c r="A146" s="812"/>
      <c r="B146" s="172" t="s">
        <v>188</v>
      </c>
      <c r="C146" s="572">
        <v>1104</v>
      </c>
      <c r="D146" s="573">
        <v>1186</v>
      </c>
      <c r="E146" s="607"/>
      <c r="F146" s="324">
        <v>82</v>
      </c>
      <c r="G146" s="595">
        <v>7.4275362318840576</v>
      </c>
    </row>
    <row r="147" spans="1:7" ht="15" customHeight="1" x14ac:dyDescent="0.3">
      <c r="A147" s="812"/>
      <c r="B147" s="172" t="s">
        <v>189</v>
      </c>
      <c r="C147" s="572">
        <v>15</v>
      </c>
      <c r="D147" s="608">
        <v>15</v>
      </c>
      <c r="E147" s="607"/>
      <c r="F147" s="324">
        <v>0</v>
      </c>
      <c r="G147" s="595">
        <v>0</v>
      </c>
    </row>
    <row r="148" spans="1:7" ht="15" customHeight="1" x14ac:dyDescent="0.3">
      <c r="A148" s="812"/>
      <c r="B148" s="172" t="s">
        <v>190</v>
      </c>
      <c r="C148" s="572">
        <v>279</v>
      </c>
      <c r="D148" s="608">
        <v>300</v>
      </c>
      <c r="E148" s="607"/>
      <c r="F148" s="324">
        <v>21</v>
      </c>
      <c r="G148" s="595">
        <v>7.5268817204301079</v>
      </c>
    </row>
    <row r="149" spans="1:7" ht="15" customHeight="1" x14ac:dyDescent="0.3">
      <c r="A149" s="812"/>
      <c r="B149" s="172" t="s">
        <v>191</v>
      </c>
      <c r="C149" s="572">
        <v>171</v>
      </c>
      <c r="D149" s="608">
        <v>191</v>
      </c>
      <c r="E149" s="607"/>
      <c r="F149" s="324">
        <v>20</v>
      </c>
      <c r="G149" s="595">
        <v>11.695906432748536</v>
      </c>
    </row>
    <row r="150" spans="1:7" ht="15" customHeight="1" x14ac:dyDescent="0.3">
      <c r="A150" s="812"/>
      <c r="B150" s="172" t="s">
        <v>192</v>
      </c>
      <c r="C150" s="572">
        <v>1203</v>
      </c>
      <c r="D150" s="573">
        <v>1344</v>
      </c>
      <c r="E150" s="607"/>
      <c r="F150" s="324">
        <v>141</v>
      </c>
      <c r="G150" s="595">
        <v>11.720698254364089</v>
      </c>
    </row>
    <row r="151" spans="1:7" ht="15" customHeight="1" x14ac:dyDescent="0.3">
      <c r="A151" s="812"/>
      <c r="B151" s="172" t="s">
        <v>193</v>
      </c>
      <c r="C151" s="572">
        <v>25</v>
      </c>
      <c r="D151" s="608">
        <v>29</v>
      </c>
      <c r="E151" s="607"/>
      <c r="F151" s="324">
        <v>4</v>
      </c>
      <c r="G151" s="595">
        <v>16</v>
      </c>
    </row>
    <row r="152" spans="1:7" ht="15" customHeight="1" x14ac:dyDescent="0.3">
      <c r="A152" s="812"/>
      <c r="B152" s="172" t="s">
        <v>194</v>
      </c>
      <c r="C152" s="572">
        <v>2258</v>
      </c>
      <c r="D152" s="573">
        <v>2419</v>
      </c>
      <c r="E152" s="574"/>
      <c r="F152" s="324">
        <v>161</v>
      </c>
      <c r="G152" s="595">
        <v>7.1302037201062891</v>
      </c>
    </row>
    <row r="153" spans="1:7" ht="15" customHeight="1" x14ac:dyDescent="0.3">
      <c r="A153" s="812"/>
      <c r="B153" s="172" t="s">
        <v>195</v>
      </c>
      <c r="C153" s="572">
        <v>545</v>
      </c>
      <c r="D153" s="608">
        <v>576</v>
      </c>
      <c r="E153" s="607"/>
      <c r="F153" s="324">
        <v>31</v>
      </c>
      <c r="G153" s="595">
        <v>5.6880733944954134</v>
      </c>
    </row>
    <row r="154" spans="1:7" ht="15" customHeight="1" x14ac:dyDescent="0.3">
      <c r="A154" s="812"/>
      <c r="B154" s="172" t="s">
        <v>196</v>
      </c>
      <c r="C154" s="572">
        <v>1957</v>
      </c>
      <c r="D154" s="573">
        <v>2162</v>
      </c>
      <c r="E154" s="607"/>
      <c r="F154" s="324">
        <v>205</v>
      </c>
      <c r="G154" s="595">
        <v>10.475217169136434</v>
      </c>
    </row>
    <row r="155" spans="1:7" ht="15" customHeight="1" x14ac:dyDescent="0.3">
      <c r="A155" s="812"/>
      <c r="B155" s="172" t="s">
        <v>197</v>
      </c>
      <c r="C155" s="572">
        <v>1261</v>
      </c>
      <c r="D155" s="573">
        <v>1285</v>
      </c>
      <c r="E155" s="607"/>
      <c r="F155" s="324">
        <v>24</v>
      </c>
      <c r="G155" s="595">
        <v>1.9032513877874702</v>
      </c>
    </row>
    <row r="156" spans="1:7" ht="15" customHeight="1" x14ac:dyDescent="0.3">
      <c r="A156" s="812"/>
      <c r="B156" s="172" t="s">
        <v>198</v>
      </c>
      <c r="C156" s="572">
        <v>173</v>
      </c>
      <c r="D156" s="608">
        <v>179</v>
      </c>
      <c r="E156" s="607"/>
      <c r="F156" s="324">
        <v>6</v>
      </c>
      <c r="G156" s="595">
        <v>3.4682080924855487</v>
      </c>
    </row>
    <row r="157" spans="1:7" ht="15" customHeight="1" x14ac:dyDescent="0.3">
      <c r="A157" s="812"/>
      <c r="B157" s="172" t="s">
        <v>199</v>
      </c>
      <c r="C157" s="572">
        <v>38</v>
      </c>
      <c r="D157" s="608">
        <v>40</v>
      </c>
      <c r="E157" s="607"/>
      <c r="F157" s="324">
        <v>2</v>
      </c>
      <c r="G157" s="595">
        <v>5.2631578947368416</v>
      </c>
    </row>
    <row r="158" spans="1:7" ht="15" customHeight="1" x14ac:dyDescent="0.3">
      <c r="A158" s="812"/>
      <c r="B158" s="172" t="s">
        <v>200</v>
      </c>
      <c r="C158" s="572">
        <v>1313</v>
      </c>
      <c r="D158" s="573">
        <v>1465</v>
      </c>
      <c r="E158" s="607"/>
      <c r="F158" s="324">
        <v>152</v>
      </c>
      <c r="G158" s="595">
        <v>11.576542269611577</v>
      </c>
    </row>
    <row r="159" spans="1:7" ht="15" customHeight="1" x14ac:dyDescent="0.3">
      <c r="A159" s="809"/>
      <c r="B159" s="609" t="s">
        <v>201</v>
      </c>
      <c r="C159" s="597">
        <v>263</v>
      </c>
      <c r="D159" s="610">
        <v>286</v>
      </c>
      <c r="E159" s="611"/>
      <c r="F159" s="600">
        <v>23</v>
      </c>
      <c r="G159" s="601">
        <v>8.7452471482889731</v>
      </c>
    </row>
    <row r="160" spans="1:7" ht="15" customHeight="1" x14ac:dyDescent="0.35">
      <c r="A160" s="58" t="s">
        <v>202</v>
      </c>
      <c r="B160" s="352" t="s">
        <v>203</v>
      </c>
      <c r="C160" s="353"/>
      <c r="D160" s="612"/>
      <c r="E160" s="355"/>
      <c r="F160" s="356"/>
      <c r="G160" s="613"/>
    </row>
    <row r="161" spans="1:7" ht="15" customHeight="1" x14ac:dyDescent="0.35">
      <c r="A161" s="151"/>
      <c r="B161" s="249"/>
      <c r="C161" s="191"/>
      <c r="D161" s="499"/>
      <c r="E161" s="193"/>
      <c r="F161" s="194"/>
      <c r="G161" s="500"/>
    </row>
    <row r="162" spans="1:7" ht="21.75" customHeight="1" x14ac:dyDescent="0.3">
      <c r="A162" s="136">
        <v>1</v>
      </c>
      <c r="B162" s="249" t="s">
        <v>204</v>
      </c>
      <c r="C162" s="506">
        <v>23054.1</v>
      </c>
      <c r="D162" s="614">
        <v>23786.799999999999</v>
      </c>
      <c r="E162" s="508"/>
      <c r="F162" s="615">
        <v>732.70000000000073</v>
      </c>
      <c r="G162" s="616">
        <v>3.1781765499412287</v>
      </c>
    </row>
    <row r="163" spans="1:7" ht="11.25" customHeight="1" x14ac:dyDescent="0.35">
      <c r="A163" s="269"/>
      <c r="B163" s="360"/>
      <c r="C163" s="617"/>
      <c r="D163" s="618"/>
      <c r="E163" s="619"/>
      <c r="F163" s="364"/>
      <c r="G163" s="498"/>
    </row>
    <row r="164" spans="1:7" ht="15" hidden="1" customHeight="1" x14ac:dyDescent="0.35">
      <c r="A164" s="814">
        <v>2</v>
      </c>
      <c r="B164" s="366"/>
      <c r="C164" s="191"/>
      <c r="D164" s="499"/>
      <c r="E164" s="193"/>
      <c r="F164" s="194"/>
      <c r="G164" s="620"/>
    </row>
    <row r="165" spans="1:7" ht="15" hidden="1" customHeight="1" x14ac:dyDescent="0.35">
      <c r="A165" s="815"/>
      <c r="B165" s="249" t="s">
        <v>205</v>
      </c>
      <c r="C165" s="368" t="s">
        <v>206</v>
      </c>
      <c r="D165" s="369" t="s">
        <v>206</v>
      </c>
      <c r="E165" s="370"/>
      <c r="F165" s="371" t="s">
        <v>206</v>
      </c>
      <c r="G165" s="372" t="s">
        <v>206</v>
      </c>
    </row>
    <row r="166" spans="1:7" ht="15" hidden="1" customHeight="1" x14ac:dyDescent="0.35">
      <c r="A166" s="269"/>
      <c r="B166" s="249"/>
      <c r="C166" s="368"/>
      <c r="D166" s="369"/>
      <c r="E166" s="370"/>
      <c r="F166" s="375"/>
      <c r="G166" s="250"/>
    </row>
    <row r="167" spans="1:7" ht="15" hidden="1" customHeight="1" x14ac:dyDescent="0.35">
      <c r="A167" s="816">
        <v>3</v>
      </c>
      <c r="B167" s="366"/>
      <c r="C167" s="376"/>
      <c r="D167" s="192"/>
      <c r="E167" s="377"/>
      <c r="F167" s="378"/>
      <c r="G167" s="367"/>
    </row>
    <row r="168" spans="1:7" ht="15" hidden="1" customHeight="1" x14ac:dyDescent="0.35">
      <c r="A168" s="817"/>
      <c r="B168" s="249" t="s">
        <v>207</v>
      </c>
      <c r="C168" s="368" t="s">
        <v>206</v>
      </c>
      <c r="D168" s="369" t="s">
        <v>206</v>
      </c>
      <c r="E168" s="619"/>
      <c r="F168" s="382" t="s">
        <v>206</v>
      </c>
      <c r="G168" s="383" t="s">
        <v>206</v>
      </c>
    </row>
    <row r="169" spans="1:7" ht="24.75" customHeight="1" x14ac:dyDescent="0.35">
      <c r="A169" s="151">
        <v>2</v>
      </c>
      <c r="B169" s="65" t="s">
        <v>208</v>
      </c>
      <c r="C169" s="517">
        <v>108.13</v>
      </c>
      <c r="D169" s="614">
        <v>108.98</v>
      </c>
      <c r="E169" s="621"/>
      <c r="F169" s="234">
        <v>0.85000000000000853</v>
      </c>
      <c r="G169" s="620"/>
    </row>
    <row r="170" spans="1:7" ht="19.5" customHeight="1" x14ac:dyDescent="0.35">
      <c r="A170" s="136"/>
      <c r="B170" s="72" t="s">
        <v>209</v>
      </c>
      <c r="C170" s="622">
        <v>0</v>
      </c>
      <c r="D170" s="614">
        <v>0</v>
      </c>
      <c r="E170" s="621"/>
      <c r="F170" s="234">
        <v>0</v>
      </c>
      <c r="G170" s="542"/>
    </row>
    <row r="171" spans="1:7" ht="18" customHeight="1" x14ac:dyDescent="0.35">
      <c r="A171" s="160"/>
      <c r="B171" s="360" t="s">
        <v>210</v>
      </c>
      <c r="C171" s="622">
        <v>0.8</v>
      </c>
      <c r="D171" s="614">
        <v>0.8</v>
      </c>
      <c r="E171" s="621"/>
      <c r="F171" s="234">
        <v>0</v>
      </c>
      <c r="G171" s="498"/>
    </row>
    <row r="172" spans="1:7" ht="23.25" customHeight="1" x14ac:dyDescent="0.35">
      <c r="A172" s="806">
        <v>3</v>
      </c>
      <c r="B172" s="151" t="s">
        <v>211</v>
      </c>
      <c r="C172" s="191"/>
      <c r="D172" s="499"/>
      <c r="E172" s="193"/>
      <c r="F172" s="194"/>
      <c r="G172" s="500"/>
    </row>
    <row r="173" spans="1:7" ht="15" customHeight="1" x14ac:dyDescent="0.35">
      <c r="A173" s="807"/>
      <c r="B173" s="251" t="s">
        <v>212</v>
      </c>
      <c r="C173" s="623">
        <v>2.57</v>
      </c>
      <c r="D173" s="624">
        <v>2.95</v>
      </c>
      <c r="E173" s="625"/>
      <c r="F173" s="626">
        <v>0.38000000000000034</v>
      </c>
      <c r="G173" s="460"/>
    </row>
    <row r="174" spans="1:7" ht="15" customHeight="1" x14ac:dyDescent="0.35">
      <c r="A174" s="807"/>
      <c r="B174" s="251" t="s">
        <v>213</v>
      </c>
      <c r="C174" s="623">
        <v>3.5</v>
      </c>
      <c r="D174" s="624">
        <v>3.8</v>
      </c>
      <c r="E174" s="625"/>
      <c r="F174" s="626">
        <v>0.29999999999999982</v>
      </c>
      <c r="G174" s="460"/>
    </row>
    <row r="175" spans="1:7" ht="15" customHeight="1" x14ac:dyDescent="0.35">
      <c r="A175" s="807"/>
      <c r="B175" s="251" t="s">
        <v>214</v>
      </c>
      <c r="C175" s="623">
        <v>3.32</v>
      </c>
      <c r="D175" s="624">
        <v>3.64</v>
      </c>
      <c r="E175" s="625"/>
      <c r="F175" s="626">
        <v>0.32000000000000028</v>
      </c>
      <c r="G175" s="460"/>
    </row>
    <row r="176" spans="1:7" ht="25.5" customHeight="1" x14ac:dyDescent="0.35">
      <c r="A176" s="808"/>
      <c r="B176" s="271" t="s">
        <v>215</v>
      </c>
      <c r="C176" s="623">
        <v>3.71</v>
      </c>
      <c r="D176" s="624">
        <v>3.82</v>
      </c>
      <c r="E176" s="627"/>
      <c r="F176" s="628">
        <v>0.10999999999999988</v>
      </c>
      <c r="G176" s="465"/>
    </row>
    <row r="177" spans="1:13" ht="15" customHeight="1" x14ac:dyDescent="0.35">
      <c r="A177" s="386" t="s">
        <v>216</v>
      </c>
      <c r="B177" s="387" t="s">
        <v>217</v>
      </c>
      <c r="C177" s="353"/>
      <c r="D177" s="612"/>
      <c r="E177" s="355"/>
      <c r="F177" s="356"/>
      <c r="G177" s="613"/>
    </row>
    <row r="178" spans="1:13" ht="20.25" customHeight="1" x14ac:dyDescent="0.3">
      <c r="A178" s="388">
        <v>1</v>
      </c>
      <c r="B178" s="249" t="s">
        <v>218</v>
      </c>
      <c r="C178" s="629">
        <v>6249262</v>
      </c>
      <c r="D178" s="630">
        <v>6249262</v>
      </c>
      <c r="E178" s="631"/>
      <c r="F178" s="632">
        <v>0</v>
      </c>
      <c r="G178" s="616">
        <v>0</v>
      </c>
    </row>
    <row r="179" spans="1:13" ht="20.25" customHeight="1" x14ac:dyDescent="0.3">
      <c r="A179" s="165">
        <v>2</v>
      </c>
      <c r="B179" s="249" t="s">
        <v>219</v>
      </c>
      <c r="C179" s="629">
        <v>2724754</v>
      </c>
      <c r="D179" s="630">
        <v>2724754</v>
      </c>
      <c r="E179" s="631"/>
      <c r="F179" s="632">
        <v>0</v>
      </c>
      <c r="G179" s="616">
        <v>0</v>
      </c>
    </row>
    <row r="180" spans="1:13" ht="6.75" customHeight="1" x14ac:dyDescent="0.35">
      <c r="A180" s="390"/>
      <c r="B180" s="391"/>
      <c r="C180" s="240"/>
      <c r="D180" s="485"/>
      <c r="E180" s="242"/>
      <c r="F180" s="243"/>
      <c r="G180" s="465"/>
    </row>
    <row r="181" spans="1:13" ht="6.75" customHeight="1" x14ac:dyDescent="0.35">
      <c r="A181" s="392"/>
      <c r="B181" s="393"/>
      <c r="C181" s="393"/>
      <c r="D181" s="393"/>
      <c r="E181" s="393"/>
      <c r="F181" s="393"/>
      <c r="G181" s="393"/>
    </row>
    <row r="182" spans="1:13" ht="21.75" customHeight="1" x14ac:dyDescent="0.3">
      <c r="A182" s="804" t="s">
        <v>220</v>
      </c>
      <c r="B182" s="804"/>
      <c r="C182" s="804"/>
      <c r="D182" s="804"/>
      <c r="E182" s="804"/>
      <c r="F182" s="804"/>
      <c r="G182" s="804"/>
    </row>
    <row r="183" spans="1:13" ht="29.25" customHeight="1" x14ac:dyDescent="0.35">
      <c r="A183" s="805" t="s">
        <v>242</v>
      </c>
      <c r="B183" s="805"/>
      <c r="C183" s="805"/>
      <c r="D183" s="805"/>
      <c r="E183" s="805"/>
      <c r="F183" s="805"/>
      <c r="G183" s="805"/>
      <c r="H183" s="803"/>
      <c r="I183" s="803"/>
      <c r="J183" s="803"/>
      <c r="K183" s="803"/>
      <c r="L183" s="803"/>
      <c r="M183" s="803"/>
    </row>
    <row r="184" spans="1:13" ht="37.5" customHeight="1" x14ac:dyDescent="0.35">
      <c r="A184" s="802" t="s">
        <v>222</v>
      </c>
      <c r="B184" s="802"/>
      <c r="C184" s="802"/>
      <c r="D184" s="802"/>
      <c r="E184" s="802"/>
      <c r="F184" s="802"/>
      <c r="G184" s="802"/>
      <c r="H184" s="395"/>
      <c r="I184" s="395"/>
      <c r="J184" s="395"/>
      <c r="K184" s="395"/>
      <c r="L184" s="395"/>
      <c r="M184" s="395"/>
    </row>
    <row r="185" spans="1:13" ht="21.75" customHeight="1" x14ac:dyDescent="0.35">
      <c r="A185" s="802" t="s">
        <v>223</v>
      </c>
      <c r="B185" s="802"/>
      <c r="C185" s="802"/>
      <c r="D185" s="802"/>
      <c r="E185" s="802"/>
      <c r="F185" s="802"/>
      <c r="G185" s="802"/>
      <c r="H185" s="395"/>
      <c r="I185" s="395"/>
      <c r="J185" s="395"/>
      <c r="K185" s="395"/>
      <c r="L185" s="395"/>
      <c r="M185" s="395"/>
    </row>
    <row r="186" spans="1:13" ht="21.75" customHeight="1" x14ac:dyDescent="0.35">
      <c r="A186" s="802" t="s">
        <v>224</v>
      </c>
      <c r="B186" s="802"/>
      <c r="C186" s="802"/>
      <c r="D186" s="802"/>
      <c r="E186" s="802"/>
      <c r="F186" s="802"/>
      <c r="G186" s="802"/>
      <c r="H186" s="395"/>
      <c r="I186" s="395"/>
      <c r="J186" s="395"/>
      <c r="K186" s="395"/>
      <c r="L186" s="395"/>
      <c r="M186" s="395"/>
    </row>
    <row r="187" spans="1:13" ht="28.5" customHeight="1" x14ac:dyDescent="0.35">
      <c r="A187" s="801" t="s">
        <v>225</v>
      </c>
      <c r="B187" s="801"/>
      <c r="C187" s="801"/>
      <c r="D187" s="801"/>
      <c r="E187" s="801"/>
      <c r="F187" s="801"/>
      <c r="G187" s="801"/>
      <c r="H187" s="395"/>
      <c r="I187" s="395"/>
      <c r="J187" s="395"/>
      <c r="K187" s="395"/>
      <c r="L187" s="395"/>
      <c r="M187" s="395"/>
    </row>
    <row r="188" spans="1:13" ht="21.75" customHeight="1" x14ac:dyDescent="0.35">
      <c r="A188" s="633" t="s">
        <v>226</v>
      </c>
      <c r="B188" s="633"/>
      <c r="C188" s="633"/>
      <c r="D188" s="633"/>
      <c r="E188" s="633"/>
      <c r="F188" s="633"/>
      <c r="G188" s="633"/>
      <c r="H188" s="398"/>
      <c r="I188" s="398"/>
      <c r="J188" s="398"/>
      <c r="K188" s="398"/>
      <c r="L188" s="398"/>
      <c r="M188" s="398"/>
    </row>
    <row r="189" spans="1:13" ht="20.25" customHeight="1" x14ac:dyDescent="0.35">
      <c r="A189" s="802" t="s">
        <v>243</v>
      </c>
      <c r="B189" s="802"/>
      <c r="C189" s="802"/>
      <c r="D189" s="802"/>
      <c r="E189" s="802"/>
      <c r="F189" s="802"/>
      <c r="G189" s="802"/>
      <c r="H189" s="398"/>
      <c r="I189" s="398"/>
      <c r="J189" s="398"/>
      <c r="K189" s="398"/>
      <c r="L189" s="398"/>
      <c r="M189" s="398"/>
    </row>
    <row r="190" spans="1:13" ht="18" customHeight="1" x14ac:dyDescent="0.35">
      <c r="A190" s="802" t="s">
        <v>244</v>
      </c>
      <c r="B190" s="802"/>
      <c r="C190" s="802"/>
      <c r="D190" s="802"/>
      <c r="E190" s="802"/>
      <c r="F190" s="802"/>
      <c r="G190" s="802"/>
      <c r="H190" s="803"/>
      <c r="I190" s="803"/>
      <c r="J190" s="803"/>
      <c r="K190" s="803"/>
      <c r="L190" s="803"/>
      <c r="M190" s="803"/>
    </row>
    <row r="191" spans="1:13" ht="20.25" customHeight="1" x14ac:dyDescent="0.35">
      <c r="A191" s="634" t="s">
        <v>229</v>
      </c>
      <c r="B191" s="633"/>
      <c r="C191" s="633"/>
      <c r="D191" s="633"/>
      <c r="E191" s="633"/>
      <c r="F191" s="633"/>
      <c r="G191" s="633"/>
      <c r="H191" s="398"/>
      <c r="I191" s="398"/>
      <c r="J191" s="398"/>
      <c r="K191" s="398"/>
      <c r="L191" s="398"/>
      <c r="M191" s="398"/>
    </row>
    <row r="192" spans="1:13" ht="15" customHeight="1" x14ac:dyDescent="0.35">
      <c r="A192" s="398"/>
      <c r="B192" s="398"/>
      <c r="C192" s="400"/>
      <c r="D192" s="398"/>
      <c r="E192" s="398"/>
      <c r="F192" s="398"/>
      <c r="G192" s="398"/>
      <c r="H192" s="398"/>
      <c r="I192" s="398"/>
      <c r="J192" s="400"/>
      <c r="K192" s="398"/>
      <c r="L192" s="398"/>
      <c r="M192" s="398"/>
    </row>
    <row r="193" spans="1:6" ht="15.5" x14ac:dyDescent="0.35">
      <c r="A193" s="398"/>
      <c r="F193" s="400"/>
    </row>
  </sheetData>
  <mergeCells count="34">
    <mergeCell ref="B1:G1"/>
    <mergeCell ref="B2:G2"/>
    <mergeCell ref="A4:B5"/>
    <mergeCell ref="C4:C5"/>
    <mergeCell ref="D4:E5"/>
    <mergeCell ref="F4:G4"/>
    <mergeCell ref="A7:A11"/>
    <mergeCell ref="A18:A22"/>
    <mergeCell ref="A65:A68"/>
    <mergeCell ref="B65:B66"/>
    <mergeCell ref="A76:A77"/>
    <mergeCell ref="B76:B77"/>
    <mergeCell ref="A172:A176"/>
    <mergeCell ref="A78:A79"/>
    <mergeCell ref="B78:B79"/>
    <mergeCell ref="A80:A81"/>
    <mergeCell ref="B80:B81"/>
    <mergeCell ref="A105:A109"/>
    <mergeCell ref="B105:B106"/>
    <mergeCell ref="A113:A131"/>
    <mergeCell ref="A132:A142"/>
    <mergeCell ref="A143:A159"/>
    <mergeCell ref="A164:A165"/>
    <mergeCell ref="A167:A168"/>
    <mergeCell ref="A187:G187"/>
    <mergeCell ref="A189:G189"/>
    <mergeCell ref="A190:G190"/>
    <mergeCell ref="H190:M190"/>
    <mergeCell ref="A182:G182"/>
    <mergeCell ref="A183:G183"/>
    <mergeCell ref="H183:M183"/>
    <mergeCell ref="A184:G184"/>
    <mergeCell ref="A185:G185"/>
    <mergeCell ref="A186:G186"/>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95"/>
  <sheetViews>
    <sheetView workbookViewId="0">
      <selection sqref="A1:XFD1048576"/>
    </sheetView>
  </sheetViews>
  <sheetFormatPr baseColWidth="10" defaultColWidth="11.453125" defaultRowHeight="13" x14ac:dyDescent="0.3"/>
  <cols>
    <col min="1" max="1" width="4.26953125" style="47" customWidth="1"/>
    <col min="2" max="2" width="93.54296875" style="51" customWidth="1"/>
    <col min="3" max="3" width="16" style="51" customWidth="1"/>
    <col min="4" max="4" width="15.1796875" style="177" customWidth="1"/>
    <col min="5" max="5" width="3.1796875" style="51" customWidth="1"/>
    <col min="6" max="6" width="15.26953125" style="51" customWidth="1"/>
    <col min="7" max="7" width="14.54296875" style="177" customWidth="1"/>
    <col min="8" max="8" width="34.54296875" style="51" customWidth="1"/>
    <col min="9" max="9" width="15.7265625" style="51" customWidth="1"/>
    <col min="10" max="10" width="13.81640625" style="51" bestFit="1" customWidth="1"/>
    <col min="11" max="11" width="11.453125" style="51" customWidth="1"/>
    <col min="12" max="12" width="22" style="51" bestFit="1" customWidth="1"/>
    <col min="13" max="256" width="11.453125" style="51"/>
    <col min="257" max="257" width="4.26953125" style="51" customWidth="1"/>
    <col min="258" max="258" width="93.54296875" style="51" customWidth="1"/>
    <col min="259" max="259" width="16" style="51" customWidth="1"/>
    <col min="260" max="260" width="15.1796875" style="51" customWidth="1"/>
    <col min="261" max="261" width="3.1796875" style="51" customWidth="1"/>
    <col min="262" max="262" width="15.26953125" style="51" customWidth="1"/>
    <col min="263" max="263" width="14.54296875" style="51" customWidth="1"/>
    <col min="264" max="264" width="34.54296875" style="51" customWidth="1"/>
    <col min="265" max="265" width="15.7265625" style="51" customWidth="1"/>
    <col min="266" max="266" width="13.81640625" style="51" bestFit="1" customWidth="1"/>
    <col min="267" max="267" width="11.453125" style="51" customWidth="1"/>
    <col min="268" max="268" width="22" style="51" bestFit="1" customWidth="1"/>
    <col min="269" max="512" width="11.453125" style="51"/>
    <col min="513" max="513" width="4.26953125" style="51" customWidth="1"/>
    <col min="514" max="514" width="93.54296875" style="51" customWidth="1"/>
    <col min="515" max="515" width="16" style="51" customWidth="1"/>
    <col min="516" max="516" width="15.1796875" style="51" customWidth="1"/>
    <col min="517" max="517" width="3.1796875" style="51" customWidth="1"/>
    <col min="518" max="518" width="15.26953125" style="51" customWidth="1"/>
    <col min="519" max="519" width="14.54296875" style="51" customWidth="1"/>
    <col min="520" max="520" width="34.54296875" style="51" customWidth="1"/>
    <col min="521" max="521" width="15.7265625" style="51" customWidth="1"/>
    <col min="522" max="522" width="13.81640625" style="51" bestFit="1" customWidth="1"/>
    <col min="523" max="523" width="11.453125" style="51" customWidth="1"/>
    <col min="524" max="524" width="22" style="51" bestFit="1" customWidth="1"/>
    <col min="525" max="768" width="11.453125" style="51"/>
    <col min="769" max="769" width="4.26953125" style="51" customWidth="1"/>
    <col min="770" max="770" width="93.54296875" style="51" customWidth="1"/>
    <col min="771" max="771" width="16" style="51" customWidth="1"/>
    <col min="772" max="772" width="15.1796875" style="51" customWidth="1"/>
    <col min="773" max="773" width="3.1796875" style="51" customWidth="1"/>
    <col min="774" max="774" width="15.26953125" style="51" customWidth="1"/>
    <col min="775" max="775" width="14.54296875" style="51" customWidth="1"/>
    <col min="776" max="776" width="34.54296875" style="51" customWidth="1"/>
    <col min="777" max="777" width="15.7265625" style="51" customWidth="1"/>
    <col min="778" max="778" width="13.81640625" style="51" bestFit="1" customWidth="1"/>
    <col min="779" max="779" width="11.453125" style="51" customWidth="1"/>
    <col min="780" max="780" width="22" style="51" bestFit="1" customWidth="1"/>
    <col min="781" max="1024" width="11.453125" style="51"/>
    <col min="1025" max="1025" width="4.26953125" style="51" customWidth="1"/>
    <col min="1026" max="1026" width="93.54296875" style="51" customWidth="1"/>
    <col min="1027" max="1027" width="16" style="51" customWidth="1"/>
    <col min="1028" max="1028" width="15.1796875" style="51" customWidth="1"/>
    <col min="1029" max="1029" width="3.1796875" style="51" customWidth="1"/>
    <col min="1030" max="1030" width="15.26953125" style="51" customWidth="1"/>
    <col min="1031" max="1031" width="14.54296875" style="51" customWidth="1"/>
    <col min="1032" max="1032" width="34.54296875" style="51" customWidth="1"/>
    <col min="1033" max="1033" width="15.7265625" style="51" customWidth="1"/>
    <col min="1034" max="1034" width="13.81640625" style="51" bestFit="1" customWidth="1"/>
    <col min="1035" max="1035" width="11.453125" style="51" customWidth="1"/>
    <col min="1036" max="1036" width="22" style="51" bestFit="1" customWidth="1"/>
    <col min="1037" max="1280" width="11.453125" style="51"/>
    <col min="1281" max="1281" width="4.26953125" style="51" customWidth="1"/>
    <col min="1282" max="1282" width="93.54296875" style="51" customWidth="1"/>
    <col min="1283" max="1283" width="16" style="51" customWidth="1"/>
    <col min="1284" max="1284" width="15.1796875" style="51" customWidth="1"/>
    <col min="1285" max="1285" width="3.1796875" style="51" customWidth="1"/>
    <col min="1286" max="1286" width="15.26953125" style="51" customWidth="1"/>
    <col min="1287" max="1287" width="14.54296875" style="51" customWidth="1"/>
    <col min="1288" max="1288" width="34.54296875" style="51" customWidth="1"/>
    <col min="1289" max="1289" width="15.7265625" style="51" customWidth="1"/>
    <col min="1290" max="1290" width="13.81640625" style="51" bestFit="1" customWidth="1"/>
    <col min="1291" max="1291" width="11.453125" style="51" customWidth="1"/>
    <col min="1292" max="1292" width="22" style="51" bestFit="1" customWidth="1"/>
    <col min="1293" max="1536" width="11.453125" style="51"/>
    <col min="1537" max="1537" width="4.26953125" style="51" customWidth="1"/>
    <col min="1538" max="1538" width="93.54296875" style="51" customWidth="1"/>
    <col min="1539" max="1539" width="16" style="51" customWidth="1"/>
    <col min="1540" max="1540" width="15.1796875" style="51" customWidth="1"/>
    <col min="1541" max="1541" width="3.1796875" style="51" customWidth="1"/>
    <col min="1542" max="1542" width="15.26953125" style="51" customWidth="1"/>
    <col min="1543" max="1543" width="14.54296875" style="51" customWidth="1"/>
    <col min="1544" max="1544" width="34.54296875" style="51" customWidth="1"/>
    <col min="1545" max="1545" width="15.7265625" style="51" customWidth="1"/>
    <col min="1546" max="1546" width="13.81640625" style="51" bestFit="1" customWidth="1"/>
    <col min="1547" max="1547" width="11.453125" style="51" customWidth="1"/>
    <col min="1548" max="1548" width="22" style="51" bestFit="1" customWidth="1"/>
    <col min="1549" max="1792" width="11.453125" style="51"/>
    <col min="1793" max="1793" width="4.26953125" style="51" customWidth="1"/>
    <col min="1794" max="1794" width="93.54296875" style="51" customWidth="1"/>
    <col min="1795" max="1795" width="16" style="51" customWidth="1"/>
    <col min="1796" max="1796" width="15.1796875" style="51" customWidth="1"/>
    <col min="1797" max="1797" width="3.1796875" style="51" customWidth="1"/>
    <col min="1798" max="1798" width="15.26953125" style="51" customWidth="1"/>
    <col min="1799" max="1799" width="14.54296875" style="51" customWidth="1"/>
    <col min="1800" max="1800" width="34.54296875" style="51" customWidth="1"/>
    <col min="1801" max="1801" width="15.7265625" style="51" customWidth="1"/>
    <col min="1802" max="1802" width="13.81640625" style="51" bestFit="1" customWidth="1"/>
    <col min="1803" max="1803" width="11.453125" style="51" customWidth="1"/>
    <col min="1804" max="1804" width="22" style="51" bestFit="1" customWidth="1"/>
    <col min="1805" max="2048" width="11.453125" style="51"/>
    <col min="2049" max="2049" width="4.26953125" style="51" customWidth="1"/>
    <col min="2050" max="2050" width="93.54296875" style="51" customWidth="1"/>
    <col min="2051" max="2051" width="16" style="51" customWidth="1"/>
    <col min="2052" max="2052" width="15.1796875" style="51" customWidth="1"/>
    <col min="2053" max="2053" width="3.1796875" style="51" customWidth="1"/>
    <col min="2054" max="2054" width="15.26953125" style="51" customWidth="1"/>
    <col min="2055" max="2055" width="14.54296875" style="51" customWidth="1"/>
    <col min="2056" max="2056" width="34.54296875" style="51" customWidth="1"/>
    <col min="2057" max="2057" width="15.7265625" style="51" customWidth="1"/>
    <col min="2058" max="2058" width="13.81640625" style="51" bestFit="1" customWidth="1"/>
    <col min="2059" max="2059" width="11.453125" style="51" customWidth="1"/>
    <col min="2060" max="2060" width="22" style="51" bestFit="1" customWidth="1"/>
    <col min="2061" max="2304" width="11.453125" style="51"/>
    <col min="2305" max="2305" width="4.26953125" style="51" customWidth="1"/>
    <col min="2306" max="2306" width="93.54296875" style="51" customWidth="1"/>
    <col min="2307" max="2307" width="16" style="51" customWidth="1"/>
    <col min="2308" max="2308" width="15.1796875" style="51" customWidth="1"/>
    <col min="2309" max="2309" width="3.1796875" style="51" customWidth="1"/>
    <col min="2310" max="2310" width="15.26953125" style="51" customWidth="1"/>
    <col min="2311" max="2311" width="14.54296875" style="51" customWidth="1"/>
    <col min="2312" max="2312" width="34.54296875" style="51" customWidth="1"/>
    <col min="2313" max="2313" width="15.7265625" style="51" customWidth="1"/>
    <col min="2314" max="2314" width="13.81640625" style="51" bestFit="1" customWidth="1"/>
    <col min="2315" max="2315" width="11.453125" style="51" customWidth="1"/>
    <col min="2316" max="2316" width="22" style="51" bestFit="1" customWidth="1"/>
    <col min="2317" max="2560" width="11.453125" style="51"/>
    <col min="2561" max="2561" width="4.26953125" style="51" customWidth="1"/>
    <col min="2562" max="2562" width="93.54296875" style="51" customWidth="1"/>
    <col min="2563" max="2563" width="16" style="51" customWidth="1"/>
    <col min="2564" max="2564" width="15.1796875" style="51" customWidth="1"/>
    <col min="2565" max="2565" width="3.1796875" style="51" customWidth="1"/>
    <col min="2566" max="2566" width="15.26953125" style="51" customWidth="1"/>
    <col min="2567" max="2567" width="14.54296875" style="51" customWidth="1"/>
    <col min="2568" max="2568" width="34.54296875" style="51" customWidth="1"/>
    <col min="2569" max="2569" width="15.7265625" style="51" customWidth="1"/>
    <col min="2570" max="2570" width="13.81640625" style="51" bestFit="1" customWidth="1"/>
    <col min="2571" max="2571" width="11.453125" style="51" customWidth="1"/>
    <col min="2572" max="2572" width="22" style="51" bestFit="1" customWidth="1"/>
    <col min="2573" max="2816" width="11.453125" style="51"/>
    <col min="2817" max="2817" width="4.26953125" style="51" customWidth="1"/>
    <col min="2818" max="2818" width="93.54296875" style="51" customWidth="1"/>
    <col min="2819" max="2819" width="16" style="51" customWidth="1"/>
    <col min="2820" max="2820" width="15.1796875" style="51" customWidth="1"/>
    <col min="2821" max="2821" width="3.1796875" style="51" customWidth="1"/>
    <col min="2822" max="2822" width="15.26953125" style="51" customWidth="1"/>
    <col min="2823" max="2823" width="14.54296875" style="51" customWidth="1"/>
    <col min="2824" max="2824" width="34.54296875" style="51" customWidth="1"/>
    <col min="2825" max="2825" width="15.7265625" style="51" customWidth="1"/>
    <col min="2826" max="2826" width="13.81640625" style="51" bestFit="1" customWidth="1"/>
    <col min="2827" max="2827" width="11.453125" style="51" customWidth="1"/>
    <col min="2828" max="2828" width="22" style="51" bestFit="1" customWidth="1"/>
    <col min="2829" max="3072" width="11.453125" style="51"/>
    <col min="3073" max="3073" width="4.26953125" style="51" customWidth="1"/>
    <col min="3074" max="3074" width="93.54296875" style="51" customWidth="1"/>
    <col min="3075" max="3075" width="16" style="51" customWidth="1"/>
    <col min="3076" max="3076" width="15.1796875" style="51" customWidth="1"/>
    <col min="3077" max="3077" width="3.1796875" style="51" customWidth="1"/>
    <col min="3078" max="3078" width="15.26953125" style="51" customWidth="1"/>
    <col min="3079" max="3079" width="14.54296875" style="51" customWidth="1"/>
    <col min="3080" max="3080" width="34.54296875" style="51" customWidth="1"/>
    <col min="3081" max="3081" width="15.7265625" style="51" customWidth="1"/>
    <col min="3082" max="3082" width="13.81640625" style="51" bestFit="1" customWidth="1"/>
    <col min="3083" max="3083" width="11.453125" style="51" customWidth="1"/>
    <col min="3084" max="3084" width="22" style="51" bestFit="1" customWidth="1"/>
    <col min="3085" max="3328" width="11.453125" style="51"/>
    <col min="3329" max="3329" width="4.26953125" style="51" customWidth="1"/>
    <col min="3330" max="3330" width="93.54296875" style="51" customWidth="1"/>
    <col min="3331" max="3331" width="16" style="51" customWidth="1"/>
    <col min="3332" max="3332" width="15.1796875" style="51" customWidth="1"/>
    <col min="3333" max="3333" width="3.1796875" style="51" customWidth="1"/>
    <col min="3334" max="3334" width="15.26953125" style="51" customWidth="1"/>
    <col min="3335" max="3335" width="14.54296875" style="51" customWidth="1"/>
    <col min="3336" max="3336" width="34.54296875" style="51" customWidth="1"/>
    <col min="3337" max="3337" width="15.7265625" style="51" customWidth="1"/>
    <col min="3338" max="3338" width="13.81640625" style="51" bestFit="1" customWidth="1"/>
    <col min="3339" max="3339" width="11.453125" style="51" customWidth="1"/>
    <col min="3340" max="3340" width="22" style="51" bestFit="1" customWidth="1"/>
    <col min="3341" max="3584" width="11.453125" style="51"/>
    <col min="3585" max="3585" width="4.26953125" style="51" customWidth="1"/>
    <col min="3586" max="3586" width="93.54296875" style="51" customWidth="1"/>
    <col min="3587" max="3587" width="16" style="51" customWidth="1"/>
    <col min="3588" max="3588" width="15.1796875" style="51" customWidth="1"/>
    <col min="3589" max="3589" width="3.1796875" style="51" customWidth="1"/>
    <col min="3590" max="3590" width="15.26953125" style="51" customWidth="1"/>
    <col min="3591" max="3591" width="14.54296875" style="51" customWidth="1"/>
    <col min="3592" max="3592" width="34.54296875" style="51" customWidth="1"/>
    <col min="3593" max="3593" width="15.7265625" style="51" customWidth="1"/>
    <col min="3594" max="3594" width="13.81640625" style="51" bestFit="1" customWidth="1"/>
    <col min="3595" max="3595" width="11.453125" style="51" customWidth="1"/>
    <col min="3596" max="3596" width="22" style="51" bestFit="1" customWidth="1"/>
    <col min="3597" max="3840" width="11.453125" style="51"/>
    <col min="3841" max="3841" width="4.26953125" style="51" customWidth="1"/>
    <col min="3842" max="3842" width="93.54296875" style="51" customWidth="1"/>
    <col min="3843" max="3843" width="16" style="51" customWidth="1"/>
    <col min="3844" max="3844" width="15.1796875" style="51" customWidth="1"/>
    <col min="3845" max="3845" width="3.1796875" style="51" customWidth="1"/>
    <col min="3846" max="3846" width="15.26953125" style="51" customWidth="1"/>
    <col min="3847" max="3847" width="14.54296875" style="51" customWidth="1"/>
    <col min="3848" max="3848" width="34.54296875" style="51" customWidth="1"/>
    <col min="3849" max="3849" width="15.7265625" style="51" customWidth="1"/>
    <col min="3850" max="3850" width="13.81640625" style="51" bestFit="1" customWidth="1"/>
    <col min="3851" max="3851" width="11.453125" style="51" customWidth="1"/>
    <col min="3852" max="3852" width="22" style="51" bestFit="1" customWidth="1"/>
    <col min="3853" max="4096" width="11.453125" style="51"/>
    <col min="4097" max="4097" width="4.26953125" style="51" customWidth="1"/>
    <col min="4098" max="4098" width="93.54296875" style="51" customWidth="1"/>
    <col min="4099" max="4099" width="16" style="51" customWidth="1"/>
    <col min="4100" max="4100" width="15.1796875" style="51" customWidth="1"/>
    <col min="4101" max="4101" width="3.1796875" style="51" customWidth="1"/>
    <col min="4102" max="4102" width="15.26953125" style="51" customWidth="1"/>
    <col min="4103" max="4103" width="14.54296875" style="51" customWidth="1"/>
    <col min="4104" max="4104" width="34.54296875" style="51" customWidth="1"/>
    <col min="4105" max="4105" width="15.7265625" style="51" customWidth="1"/>
    <col min="4106" max="4106" width="13.81640625" style="51" bestFit="1" customWidth="1"/>
    <col min="4107" max="4107" width="11.453125" style="51" customWidth="1"/>
    <col min="4108" max="4108" width="22" style="51" bestFit="1" customWidth="1"/>
    <col min="4109" max="4352" width="11.453125" style="51"/>
    <col min="4353" max="4353" width="4.26953125" style="51" customWidth="1"/>
    <col min="4354" max="4354" width="93.54296875" style="51" customWidth="1"/>
    <col min="4355" max="4355" width="16" style="51" customWidth="1"/>
    <col min="4356" max="4356" width="15.1796875" style="51" customWidth="1"/>
    <col min="4357" max="4357" width="3.1796875" style="51" customWidth="1"/>
    <col min="4358" max="4358" width="15.26953125" style="51" customWidth="1"/>
    <col min="4359" max="4359" width="14.54296875" style="51" customWidth="1"/>
    <col min="4360" max="4360" width="34.54296875" style="51" customWidth="1"/>
    <col min="4361" max="4361" width="15.7265625" style="51" customWidth="1"/>
    <col min="4362" max="4362" width="13.81640625" style="51" bestFit="1" customWidth="1"/>
    <col min="4363" max="4363" width="11.453125" style="51" customWidth="1"/>
    <col min="4364" max="4364" width="22" style="51" bestFit="1" customWidth="1"/>
    <col min="4365" max="4608" width="11.453125" style="51"/>
    <col min="4609" max="4609" width="4.26953125" style="51" customWidth="1"/>
    <col min="4610" max="4610" width="93.54296875" style="51" customWidth="1"/>
    <col min="4611" max="4611" width="16" style="51" customWidth="1"/>
    <col min="4612" max="4612" width="15.1796875" style="51" customWidth="1"/>
    <col min="4613" max="4613" width="3.1796875" style="51" customWidth="1"/>
    <col min="4614" max="4614" width="15.26953125" style="51" customWidth="1"/>
    <col min="4615" max="4615" width="14.54296875" style="51" customWidth="1"/>
    <col min="4616" max="4616" width="34.54296875" style="51" customWidth="1"/>
    <col min="4617" max="4617" width="15.7265625" style="51" customWidth="1"/>
    <col min="4618" max="4618" width="13.81640625" style="51" bestFit="1" customWidth="1"/>
    <col min="4619" max="4619" width="11.453125" style="51" customWidth="1"/>
    <col min="4620" max="4620" width="22" style="51" bestFit="1" customWidth="1"/>
    <col min="4621" max="4864" width="11.453125" style="51"/>
    <col min="4865" max="4865" width="4.26953125" style="51" customWidth="1"/>
    <col min="4866" max="4866" width="93.54296875" style="51" customWidth="1"/>
    <col min="4867" max="4867" width="16" style="51" customWidth="1"/>
    <col min="4868" max="4868" width="15.1796875" style="51" customWidth="1"/>
    <col min="4869" max="4869" width="3.1796875" style="51" customWidth="1"/>
    <col min="4870" max="4870" width="15.26953125" style="51" customWidth="1"/>
    <col min="4871" max="4871" width="14.54296875" style="51" customWidth="1"/>
    <col min="4872" max="4872" width="34.54296875" style="51" customWidth="1"/>
    <col min="4873" max="4873" width="15.7265625" style="51" customWidth="1"/>
    <col min="4874" max="4874" width="13.81640625" style="51" bestFit="1" customWidth="1"/>
    <col min="4875" max="4875" width="11.453125" style="51" customWidth="1"/>
    <col min="4876" max="4876" width="22" style="51" bestFit="1" customWidth="1"/>
    <col min="4877" max="5120" width="11.453125" style="51"/>
    <col min="5121" max="5121" width="4.26953125" style="51" customWidth="1"/>
    <col min="5122" max="5122" width="93.54296875" style="51" customWidth="1"/>
    <col min="5123" max="5123" width="16" style="51" customWidth="1"/>
    <col min="5124" max="5124" width="15.1796875" style="51" customWidth="1"/>
    <col min="5125" max="5125" width="3.1796875" style="51" customWidth="1"/>
    <col min="5126" max="5126" width="15.26953125" style="51" customWidth="1"/>
    <col min="5127" max="5127" width="14.54296875" style="51" customWidth="1"/>
    <col min="5128" max="5128" width="34.54296875" style="51" customWidth="1"/>
    <col min="5129" max="5129" width="15.7265625" style="51" customWidth="1"/>
    <col min="5130" max="5130" width="13.81640625" style="51" bestFit="1" customWidth="1"/>
    <col min="5131" max="5131" width="11.453125" style="51" customWidth="1"/>
    <col min="5132" max="5132" width="22" style="51" bestFit="1" customWidth="1"/>
    <col min="5133" max="5376" width="11.453125" style="51"/>
    <col min="5377" max="5377" width="4.26953125" style="51" customWidth="1"/>
    <col min="5378" max="5378" width="93.54296875" style="51" customWidth="1"/>
    <col min="5379" max="5379" width="16" style="51" customWidth="1"/>
    <col min="5380" max="5380" width="15.1796875" style="51" customWidth="1"/>
    <col min="5381" max="5381" width="3.1796875" style="51" customWidth="1"/>
    <col min="5382" max="5382" width="15.26953125" style="51" customWidth="1"/>
    <col min="5383" max="5383" width="14.54296875" style="51" customWidth="1"/>
    <col min="5384" max="5384" width="34.54296875" style="51" customWidth="1"/>
    <col min="5385" max="5385" width="15.7265625" style="51" customWidth="1"/>
    <col min="5386" max="5386" width="13.81640625" style="51" bestFit="1" customWidth="1"/>
    <col min="5387" max="5387" width="11.453125" style="51" customWidth="1"/>
    <col min="5388" max="5388" width="22" style="51" bestFit="1" customWidth="1"/>
    <col min="5389" max="5632" width="11.453125" style="51"/>
    <col min="5633" max="5633" width="4.26953125" style="51" customWidth="1"/>
    <col min="5634" max="5634" width="93.54296875" style="51" customWidth="1"/>
    <col min="5635" max="5635" width="16" style="51" customWidth="1"/>
    <col min="5636" max="5636" width="15.1796875" style="51" customWidth="1"/>
    <col min="5637" max="5637" width="3.1796875" style="51" customWidth="1"/>
    <col min="5638" max="5638" width="15.26953125" style="51" customWidth="1"/>
    <col min="5639" max="5639" width="14.54296875" style="51" customWidth="1"/>
    <col min="5640" max="5640" width="34.54296875" style="51" customWidth="1"/>
    <col min="5641" max="5641" width="15.7265625" style="51" customWidth="1"/>
    <col min="5642" max="5642" width="13.81640625" style="51" bestFit="1" customWidth="1"/>
    <col min="5643" max="5643" width="11.453125" style="51" customWidth="1"/>
    <col min="5644" max="5644" width="22" style="51" bestFit="1" customWidth="1"/>
    <col min="5645" max="5888" width="11.453125" style="51"/>
    <col min="5889" max="5889" width="4.26953125" style="51" customWidth="1"/>
    <col min="5890" max="5890" width="93.54296875" style="51" customWidth="1"/>
    <col min="5891" max="5891" width="16" style="51" customWidth="1"/>
    <col min="5892" max="5892" width="15.1796875" style="51" customWidth="1"/>
    <col min="5893" max="5893" width="3.1796875" style="51" customWidth="1"/>
    <col min="5894" max="5894" width="15.26953125" style="51" customWidth="1"/>
    <col min="5895" max="5895" width="14.54296875" style="51" customWidth="1"/>
    <col min="5896" max="5896" width="34.54296875" style="51" customWidth="1"/>
    <col min="5897" max="5897" width="15.7265625" style="51" customWidth="1"/>
    <col min="5898" max="5898" width="13.81640625" style="51" bestFit="1" customWidth="1"/>
    <col min="5899" max="5899" width="11.453125" style="51" customWidth="1"/>
    <col min="5900" max="5900" width="22" style="51" bestFit="1" customWidth="1"/>
    <col min="5901" max="6144" width="11.453125" style="51"/>
    <col min="6145" max="6145" width="4.26953125" style="51" customWidth="1"/>
    <col min="6146" max="6146" width="93.54296875" style="51" customWidth="1"/>
    <col min="6147" max="6147" width="16" style="51" customWidth="1"/>
    <col min="6148" max="6148" width="15.1796875" style="51" customWidth="1"/>
    <col min="6149" max="6149" width="3.1796875" style="51" customWidth="1"/>
    <col min="6150" max="6150" width="15.26953125" style="51" customWidth="1"/>
    <col min="6151" max="6151" width="14.54296875" style="51" customWidth="1"/>
    <col min="6152" max="6152" width="34.54296875" style="51" customWidth="1"/>
    <col min="6153" max="6153" width="15.7265625" style="51" customWidth="1"/>
    <col min="6154" max="6154" width="13.81640625" style="51" bestFit="1" customWidth="1"/>
    <col min="6155" max="6155" width="11.453125" style="51" customWidth="1"/>
    <col min="6156" max="6156" width="22" style="51" bestFit="1" customWidth="1"/>
    <col min="6157" max="6400" width="11.453125" style="51"/>
    <col min="6401" max="6401" width="4.26953125" style="51" customWidth="1"/>
    <col min="6402" max="6402" width="93.54296875" style="51" customWidth="1"/>
    <col min="6403" max="6403" width="16" style="51" customWidth="1"/>
    <col min="6404" max="6404" width="15.1796875" style="51" customWidth="1"/>
    <col min="6405" max="6405" width="3.1796875" style="51" customWidth="1"/>
    <col min="6406" max="6406" width="15.26953125" style="51" customWidth="1"/>
    <col min="6407" max="6407" width="14.54296875" style="51" customWidth="1"/>
    <col min="6408" max="6408" width="34.54296875" style="51" customWidth="1"/>
    <col min="6409" max="6409" width="15.7265625" style="51" customWidth="1"/>
    <col min="6410" max="6410" width="13.81640625" style="51" bestFit="1" customWidth="1"/>
    <col min="6411" max="6411" width="11.453125" style="51" customWidth="1"/>
    <col min="6412" max="6412" width="22" style="51" bestFit="1" customWidth="1"/>
    <col min="6413" max="6656" width="11.453125" style="51"/>
    <col min="6657" max="6657" width="4.26953125" style="51" customWidth="1"/>
    <col min="6658" max="6658" width="93.54296875" style="51" customWidth="1"/>
    <col min="6659" max="6659" width="16" style="51" customWidth="1"/>
    <col min="6660" max="6660" width="15.1796875" style="51" customWidth="1"/>
    <col min="6661" max="6661" width="3.1796875" style="51" customWidth="1"/>
    <col min="6662" max="6662" width="15.26953125" style="51" customWidth="1"/>
    <col min="6663" max="6663" width="14.54296875" style="51" customWidth="1"/>
    <col min="6664" max="6664" width="34.54296875" style="51" customWidth="1"/>
    <col min="6665" max="6665" width="15.7265625" style="51" customWidth="1"/>
    <col min="6666" max="6666" width="13.81640625" style="51" bestFit="1" customWidth="1"/>
    <col min="6667" max="6667" width="11.453125" style="51" customWidth="1"/>
    <col min="6668" max="6668" width="22" style="51" bestFit="1" customWidth="1"/>
    <col min="6669" max="6912" width="11.453125" style="51"/>
    <col min="6913" max="6913" width="4.26953125" style="51" customWidth="1"/>
    <col min="6914" max="6914" width="93.54296875" style="51" customWidth="1"/>
    <col min="6915" max="6915" width="16" style="51" customWidth="1"/>
    <col min="6916" max="6916" width="15.1796875" style="51" customWidth="1"/>
    <col min="6917" max="6917" width="3.1796875" style="51" customWidth="1"/>
    <col min="6918" max="6918" width="15.26953125" style="51" customWidth="1"/>
    <col min="6919" max="6919" width="14.54296875" style="51" customWidth="1"/>
    <col min="6920" max="6920" width="34.54296875" style="51" customWidth="1"/>
    <col min="6921" max="6921" width="15.7265625" style="51" customWidth="1"/>
    <col min="6922" max="6922" width="13.81640625" style="51" bestFit="1" customWidth="1"/>
    <col min="6923" max="6923" width="11.453125" style="51" customWidth="1"/>
    <col min="6924" max="6924" width="22" style="51" bestFit="1" customWidth="1"/>
    <col min="6925" max="7168" width="11.453125" style="51"/>
    <col min="7169" max="7169" width="4.26953125" style="51" customWidth="1"/>
    <col min="7170" max="7170" width="93.54296875" style="51" customWidth="1"/>
    <col min="7171" max="7171" width="16" style="51" customWidth="1"/>
    <col min="7172" max="7172" width="15.1796875" style="51" customWidth="1"/>
    <col min="7173" max="7173" width="3.1796875" style="51" customWidth="1"/>
    <col min="7174" max="7174" width="15.26953125" style="51" customWidth="1"/>
    <col min="7175" max="7175" width="14.54296875" style="51" customWidth="1"/>
    <col min="7176" max="7176" width="34.54296875" style="51" customWidth="1"/>
    <col min="7177" max="7177" width="15.7265625" style="51" customWidth="1"/>
    <col min="7178" max="7178" width="13.81640625" style="51" bestFit="1" customWidth="1"/>
    <col min="7179" max="7179" width="11.453125" style="51" customWidth="1"/>
    <col min="7180" max="7180" width="22" style="51" bestFit="1" customWidth="1"/>
    <col min="7181" max="7424" width="11.453125" style="51"/>
    <col min="7425" max="7425" width="4.26953125" style="51" customWidth="1"/>
    <col min="7426" max="7426" width="93.54296875" style="51" customWidth="1"/>
    <col min="7427" max="7427" width="16" style="51" customWidth="1"/>
    <col min="7428" max="7428" width="15.1796875" style="51" customWidth="1"/>
    <col min="7429" max="7429" width="3.1796875" style="51" customWidth="1"/>
    <col min="7430" max="7430" width="15.26953125" style="51" customWidth="1"/>
    <col min="7431" max="7431" width="14.54296875" style="51" customWidth="1"/>
    <col min="7432" max="7432" width="34.54296875" style="51" customWidth="1"/>
    <col min="7433" max="7433" width="15.7265625" style="51" customWidth="1"/>
    <col min="7434" max="7434" width="13.81640625" style="51" bestFit="1" customWidth="1"/>
    <col min="7435" max="7435" width="11.453125" style="51" customWidth="1"/>
    <col min="7436" max="7436" width="22" style="51" bestFit="1" customWidth="1"/>
    <col min="7437" max="7680" width="11.453125" style="51"/>
    <col min="7681" max="7681" width="4.26953125" style="51" customWidth="1"/>
    <col min="7682" max="7682" width="93.54296875" style="51" customWidth="1"/>
    <col min="7683" max="7683" width="16" style="51" customWidth="1"/>
    <col min="7684" max="7684" width="15.1796875" style="51" customWidth="1"/>
    <col min="7685" max="7685" width="3.1796875" style="51" customWidth="1"/>
    <col min="7686" max="7686" width="15.26953125" style="51" customWidth="1"/>
    <col min="7687" max="7687" width="14.54296875" style="51" customWidth="1"/>
    <col min="7688" max="7688" width="34.54296875" style="51" customWidth="1"/>
    <col min="7689" max="7689" width="15.7265625" style="51" customWidth="1"/>
    <col min="7690" max="7690" width="13.81640625" style="51" bestFit="1" customWidth="1"/>
    <col min="7691" max="7691" width="11.453125" style="51" customWidth="1"/>
    <col min="7692" max="7692" width="22" style="51" bestFit="1" customWidth="1"/>
    <col min="7693" max="7936" width="11.453125" style="51"/>
    <col min="7937" max="7937" width="4.26953125" style="51" customWidth="1"/>
    <col min="7938" max="7938" width="93.54296875" style="51" customWidth="1"/>
    <col min="7939" max="7939" width="16" style="51" customWidth="1"/>
    <col min="7940" max="7940" width="15.1796875" style="51" customWidth="1"/>
    <col min="7941" max="7941" width="3.1796875" style="51" customWidth="1"/>
    <col min="7942" max="7942" width="15.26953125" style="51" customWidth="1"/>
    <col min="7943" max="7943" width="14.54296875" style="51" customWidth="1"/>
    <col min="7944" max="7944" width="34.54296875" style="51" customWidth="1"/>
    <col min="7945" max="7945" width="15.7265625" style="51" customWidth="1"/>
    <col min="7946" max="7946" width="13.81640625" style="51" bestFit="1" customWidth="1"/>
    <col min="7947" max="7947" width="11.453125" style="51" customWidth="1"/>
    <col min="7948" max="7948" width="22" style="51" bestFit="1" customWidth="1"/>
    <col min="7949" max="8192" width="11.453125" style="51"/>
    <col min="8193" max="8193" width="4.26953125" style="51" customWidth="1"/>
    <col min="8194" max="8194" width="93.54296875" style="51" customWidth="1"/>
    <col min="8195" max="8195" width="16" style="51" customWidth="1"/>
    <col min="8196" max="8196" width="15.1796875" style="51" customWidth="1"/>
    <col min="8197" max="8197" width="3.1796875" style="51" customWidth="1"/>
    <col min="8198" max="8198" width="15.26953125" style="51" customWidth="1"/>
    <col min="8199" max="8199" width="14.54296875" style="51" customWidth="1"/>
    <col min="8200" max="8200" width="34.54296875" style="51" customWidth="1"/>
    <col min="8201" max="8201" width="15.7265625" style="51" customWidth="1"/>
    <col min="8202" max="8202" width="13.81640625" style="51" bestFit="1" customWidth="1"/>
    <col min="8203" max="8203" width="11.453125" style="51" customWidth="1"/>
    <col min="8204" max="8204" width="22" style="51" bestFit="1" customWidth="1"/>
    <col min="8205" max="8448" width="11.453125" style="51"/>
    <col min="8449" max="8449" width="4.26953125" style="51" customWidth="1"/>
    <col min="8450" max="8450" width="93.54296875" style="51" customWidth="1"/>
    <col min="8451" max="8451" width="16" style="51" customWidth="1"/>
    <col min="8452" max="8452" width="15.1796875" style="51" customWidth="1"/>
    <col min="8453" max="8453" width="3.1796875" style="51" customWidth="1"/>
    <col min="8454" max="8454" width="15.26953125" style="51" customWidth="1"/>
    <col min="8455" max="8455" width="14.54296875" style="51" customWidth="1"/>
    <col min="8456" max="8456" width="34.54296875" style="51" customWidth="1"/>
    <col min="8457" max="8457" width="15.7265625" style="51" customWidth="1"/>
    <col min="8458" max="8458" width="13.81640625" style="51" bestFit="1" customWidth="1"/>
    <col min="8459" max="8459" width="11.453125" style="51" customWidth="1"/>
    <col min="8460" max="8460" width="22" style="51" bestFit="1" customWidth="1"/>
    <col min="8461" max="8704" width="11.453125" style="51"/>
    <col min="8705" max="8705" width="4.26953125" style="51" customWidth="1"/>
    <col min="8706" max="8706" width="93.54296875" style="51" customWidth="1"/>
    <col min="8707" max="8707" width="16" style="51" customWidth="1"/>
    <col min="8708" max="8708" width="15.1796875" style="51" customWidth="1"/>
    <col min="8709" max="8709" width="3.1796875" style="51" customWidth="1"/>
    <col min="8710" max="8710" width="15.26953125" style="51" customWidth="1"/>
    <col min="8711" max="8711" width="14.54296875" style="51" customWidth="1"/>
    <col min="8712" max="8712" width="34.54296875" style="51" customWidth="1"/>
    <col min="8713" max="8713" width="15.7265625" style="51" customWidth="1"/>
    <col min="8714" max="8714" width="13.81640625" style="51" bestFit="1" customWidth="1"/>
    <col min="8715" max="8715" width="11.453125" style="51" customWidth="1"/>
    <col min="8716" max="8716" width="22" style="51" bestFit="1" customWidth="1"/>
    <col min="8717" max="8960" width="11.453125" style="51"/>
    <col min="8961" max="8961" width="4.26953125" style="51" customWidth="1"/>
    <col min="8962" max="8962" width="93.54296875" style="51" customWidth="1"/>
    <col min="8963" max="8963" width="16" style="51" customWidth="1"/>
    <col min="8964" max="8964" width="15.1796875" style="51" customWidth="1"/>
    <col min="8965" max="8965" width="3.1796875" style="51" customWidth="1"/>
    <col min="8966" max="8966" width="15.26953125" style="51" customWidth="1"/>
    <col min="8967" max="8967" width="14.54296875" style="51" customWidth="1"/>
    <col min="8968" max="8968" width="34.54296875" style="51" customWidth="1"/>
    <col min="8969" max="8969" width="15.7265625" style="51" customWidth="1"/>
    <col min="8970" max="8970" width="13.81640625" style="51" bestFit="1" customWidth="1"/>
    <col min="8971" max="8971" width="11.453125" style="51" customWidth="1"/>
    <col min="8972" max="8972" width="22" style="51" bestFit="1" customWidth="1"/>
    <col min="8973" max="9216" width="11.453125" style="51"/>
    <col min="9217" max="9217" width="4.26953125" style="51" customWidth="1"/>
    <col min="9218" max="9218" width="93.54296875" style="51" customWidth="1"/>
    <col min="9219" max="9219" width="16" style="51" customWidth="1"/>
    <col min="9220" max="9220" width="15.1796875" style="51" customWidth="1"/>
    <col min="9221" max="9221" width="3.1796875" style="51" customWidth="1"/>
    <col min="9222" max="9222" width="15.26953125" style="51" customWidth="1"/>
    <col min="9223" max="9223" width="14.54296875" style="51" customWidth="1"/>
    <col min="9224" max="9224" width="34.54296875" style="51" customWidth="1"/>
    <col min="9225" max="9225" width="15.7265625" style="51" customWidth="1"/>
    <col min="9226" max="9226" width="13.81640625" style="51" bestFit="1" customWidth="1"/>
    <col min="9227" max="9227" width="11.453125" style="51" customWidth="1"/>
    <col min="9228" max="9228" width="22" style="51" bestFit="1" customWidth="1"/>
    <col min="9229" max="9472" width="11.453125" style="51"/>
    <col min="9473" max="9473" width="4.26953125" style="51" customWidth="1"/>
    <col min="9474" max="9474" width="93.54296875" style="51" customWidth="1"/>
    <col min="9475" max="9475" width="16" style="51" customWidth="1"/>
    <col min="9476" max="9476" width="15.1796875" style="51" customWidth="1"/>
    <col min="9477" max="9477" width="3.1796875" style="51" customWidth="1"/>
    <col min="9478" max="9478" width="15.26953125" style="51" customWidth="1"/>
    <col min="9479" max="9479" width="14.54296875" style="51" customWidth="1"/>
    <col min="9480" max="9480" width="34.54296875" style="51" customWidth="1"/>
    <col min="9481" max="9481" width="15.7265625" style="51" customWidth="1"/>
    <col min="9482" max="9482" width="13.81640625" style="51" bestFit="1" customWidth="1"/>
    <col min="9483" max="9483" width="11.453125" style="51" customWidth="1"/>
    <col min="9484" max="9484" width="22" style="51" bestFit="1" customWidth="1"/>
    <col min="9485" max="9728" width="11.453125" style="51"/>
    <col min="9729" max="9729" width="4.26953125" style="51" customWidth="1"/>
    <col min="9730" max="9730" width="93.54296875" style="51" customWidth="1"/>
    <col min="9731" max="9731" width="16" style="51" customWidth="1"/>
    <col min="9732" max="9732" width="15.1796875" style="51" customWidth="1"/>
    <col min="9733" max="9733" width="3.1796875" style="51" customWidth="1"/>
    <col min="9734" max="9734" width="15.26953125" style="51" customWidth="1"/>
    <col min="9735" max="9735" width="14.54296875" style="51" customWidth="1"/>
    <col min="9736" max="9736" width="34.54296875" style="51" customWidth="1"/>
    <col min="9737" max="9737" width="15.7265625" style="51" customWidth="1"/>
    <col min="9738" max="9738" width="13.81640625" style="51" bestFit="1" customWidth="1"/>
    <col min="9739" max="9739" width="11.453125" style="51" customWidth="1"/>
    <col min="9740" max="9740" width="22" style="51" bestFit="1" customWidth="1"/>
    <col min="9741" max="9984" width="11.453125" style="51"/>
    <col min="9985" max="9985" width="4.26953125" style="51" customWidth="1"/>
    <col min="9986" max="9986" width="93.54296875" style="51" customWidth="1"/>
    <col min="9987" max="9987" width="16" style="51" customWidth="1"/>
    <col min="9988" max="9988" width="15.1796875" style="51" customWidth="1"/>
    <col min="9989" max="9989" width="3.1796875" style="51" customWidth="1"/>
    <col min="9990" max="9990" width="15.26953125" style="51" customWidth="1"/>
    <col min="9991" max="9991" width="14.54296875" style="51" customWidth="1"/>
    <col min="9992" max="9992" width="34.54296875" style="51" customWidth="1"/>
    <col min="9993" max="9993" width="15.7265625" style="51" customWidth="1"/>
    <col min="9994" max="9994" width="13.81640625" style="51" bestFit="1" customWidth="1"/>
    <col min="9995" max="9995" width="11.453125" style="51" customWidth="1"/>
    <col min="9996" max="9996" width="22" style="51" bestFit="1" customWidth="1"/>
    <col min="9997" max="10240" width="11.453125" style="51"/>
    <col min="10241" max="10241" width="4.26953125" style="51" customWidth="1"/>
    <col min="10242" max="10242" width="93.54296875" style="51" customWidth="1"/>
    <col min="10243" max="10243" width="16" style="51" customWidth="1"/>
    <col min="10244" max="10244" width="15.1796875" style="51" customWidth="1"/>
    <col min="10245" max="10245" width="3.1796875" style="51" customWidth="1"/>
    <col min="10246" max="10246" width="15.26953125" style="51" customWidth="1"/>
    <col min="10247" max="10247" width="14.54296875" style="51" customWidth="1"/>
    <col min="10248" max="10248" width="34.54296875" style="51" customWidth="1"/>
    <col min="10249" max="10249" width="15.7265625" style="51" customWidth="1"/>
    <col min="10250" max="10250" width="13.81640625" style="51" bestFit="1" customWidth="1"/>
    <col min="10251" max="10251" width="11.453125" style="51" customWidth="1"/>
    <col min="10252" max="10252" width="22" style="51" bestFit="1" customWidth="1"/>
    <col min="10253" max="10496" width="11.453125" style="51"/>
    <col min="10497" max="10497" width="4.26953125" style="51" customWidth="1"/>
    <col min="10498" max="10498" width="93.54296875" style="51" customWidth="1"/>
    <col min="10499" max="10499" width="16" style="51" customWidth="1"/>
    <col min="10500" max="10500" width="15.1796875" style="51" customWidth="1"/>
    <col min="10501" max="10501" width="3.1796875" style="51" customWidth="1"/>
    <col min="10502" max="10502" width="15.26953125" style="51" customWidth="1"/>
    <col min="10503" max="10503" width="14.54296875" style="51" customWidth="1"/>
    <col min="10504" max="10504" width="34.54296875" style="51" customWidth="1"/>
    <col min="10505" max="10505" width="15.7265625" style="51" customWidth="1"/>
    <col min="10506" max="10506" width="13.81640625" style="51" bestFit="1" customWidth="1"/>
    <col min="10507" max="10507" width="11.453125" style="51" customWidth="1"/>
    <col min="10508" max="10508" width="22" style="51" bestFit="1" customWidth="1"/>
    <col min="10509" max="10752" width="11.453125" style="51"/>
    <col min="10753" max="10753" width="4.26953125" style="51" customWidth="1"/>
    <col min="10754" max="10754" width="93.54296875" style="51" customWidth="1"/>
    <col min="10755" max="10755" width="16" style="51" customWidth="1"/>
    <col min="10756" max="10756" width="15.1796875" style="51" customWidth="1"/>
    <col min="10757" max="10757" width="3.1796875" style="51" customWidth="1"/>
    <col min="10758" max="10758" width="15.26953125" style="51" customWidth="1"/>
    <col min="10759" max="10759" width="14.54296875" style="51" customWidth="1"/>
    <col min="10760" max="10760" width="34.54296875" style="51" customWidth="1"/>
    <col min="10761" max="10761" width="15.7265625" style="51" customWidth="1"/>
    <col min="10762" max="10762" width="13.81640625" style="51" bestFit="1" customWidth="1"/>
    <col min="10763" max="10763" width="11.453125" style="51" customWidth="1"/>
    <col min="10764" max="10764" width="22" style="51" bestFit="1" customWidth="1"/>
    <col min="10765" max="11008" width="11.453125" style="51"/>
    <col min="11009" max="11009" width="4.26953125" style="51" customWidth="1"/>
    <col min="11010" max="11010" width="93.54296875" style="51" customWidth="1"/>
    <col min="11011" max="11011" width="16" style="51" customWidth="1"/>
    <col min="11012" max="11012" width="15.1796875" style="51" customWidth="1"/>
    <col min="11013" max="11013" width="3.1796875" style="51" customWidth="1"/>
    <col min="11014" max="11014" width="15.26953125" style="51" customWidth="1"/>
    <col min="11015" max="11015" width="14.54296875" style="51" customWidth="1"/>
    <col min="11016" max="11016" width="34.54296875" style="51" customWidth="1"/>
    <col min="11017" max="11017" width="15.7265625" style="51" customWidth="1"/>
    <col min="11018" max="11018" width="13.81640625" style="51" bestFit="1" customWidth="1"/>
    <col min="11019" max="11019" width="11.453125" style="51" customWidth="1"/>
    <col min="11020" max="11020" width="22" style="51" bestFit="1" customWidth="1"/>
    <col min="11021" max="11264" width="11.453125" style="51"/>
    <col min="11265" max="11265" width="4.26953125" style="51" customWidth="1"/>
    <col min="11266" max="11266" width="93.54296875" style="51" customWidth="1"/>
    <col min="11267" max="11267" width="16" style="51" customWidth="1"/>
    <col min="11268" max="11268" width="15.1796875" style="51" customWidth="1"/>
    <col min="11269" max="11269" width="3.1796875" style="51" customWidth="1"/>
    <col min="11270" max="11270" width="15.26953125" style="51" customWidth="1"/>
    <col min="11271" max="11271" width="14.54296875" style="51" customWidth="1"/>
    <col min="11272" max="11272" width="34.54296875" style="51" customWidth="1"/>
    <col min="11273" max="11273" width="15.7265625" style="51" customWidth="1"/>
    <col min="11274" max="11274" width="13.81640625" style="51" bestFit="1" customWidth="1"/>
    <col min="11275" max="11275" width="11.453125" style="51" customWidth="1"/>
    <col min="11276" max="11276" width="22" style="51" bestFit="1" customWidth="1"/>
    <col min="11277" max="11520" width="11.453125" style="51"/>
    <col min="11521" max="11521" width="4.26953125" style="51" customWidth="1"/>
    <col min="11522" max="11522" width="93.54296875" style="51" customWidth="1"/>
    <col min="11523" max="11523" width="16" style="51" customWidth="1"/>
    <col min="11524" max="11524" width="15.1796875" style="51" customWidth="1"/>
    <col min="11525" max="11525" width="3.1796875" style="51" customWidth="1"/>
    <col min="11526" max="11526" width="15.26953125" style="51" customWidth="1"/>
    <col min="11527" max="11527" width="14.54296875" style="51" customWidth="1"/>
    <col min="11528" max="11528" width="34.54296875" style="51" customWidth="1"/>
    <col min="11529" max="11529" width="15.7265625" style="51" customWidth="1"/>
    <col min="11530" max="11530" width="13.81640625" style="51" bestFit="1" customWidth="1"/>
    <col min="11531" max="11531" width="11.453125" style="51" customWidth="1"/>
    <col min="11532" max="11532" width="22" style="51" bestFit="1" customWidth="1"/>
    <col min="11533" max="11776" width="11.453125" style="51"/>
    <col min="11777" max="11777" width="4.26953125" style="51" customWidth="1"/>
    <col min="11778" max="11778" width="93.54296875" style="51" customWidth="1"/>
    <col min="11779" max="11779" width="16" style="51" customWidth="1"/>
    <col min="11780" max="11780" width="15.1796875" style="51" customWidth="1"/>
    <col min="11781" max="11781" width="3.1796875" style="51" customWidth="1"/>
    <col min="11782" max="11782" width="15.26953125" style="51" customWidth="1"/>
    <col min="11783" max="11783" width="14.54296875" style="51" customWidth="1"/>
    <col min="11784" max="11784" width="34.54296875" style="51" customWidth="1"/>
    <col min="11785" max="11785" width="15.7265625" style="51" customWidth="1"/>
    <col min="11786" max="11786" width="13.81640625" style="51" bestFit="1" customWidth="1"/>
    <col min="11787" max="11787" width="11.453125" style="51" customWidth="1"/>
    <col min="11788" max="11788" width="22" style="51" bestFit="1" customWidth="1"/>
    <col min="11789" max="12032" width="11.453125" style="51"/>
    <col min="12033" max="12033" width="4.26953125" style="51" customWidth="1"/>
    <col min="12034" max="12034" width="93.54296875" style="51" customWidth="1"/>
    <col min="12035" max="12035" width="16" style="51" customWidth="1"/>
    <col min="12036" max="12036" width="15.1796875" style="51" customWidth="1"/>
    <col min="12037" max="12037" width="3.1796875" style="51" customWidth="1"/>
    <col min="12038" max="12038" width="15.26953125" style="51" customWidth="1"/>
    <col min="12039" max="12039" width="14.54296875" style="51" customWidth="1"/>
    <col min="12040" max="12040" width="34.54296875" style="51" customWidth="1"/>
    <col min="12041" max="12041" width="15.7265625" style="51" customWidth="1"/>
    <col min="12042" max="12042" width="13.81640625" style="51" bestFit="1" customWidth="1"/>
    <col min="12043" max="12043" width="11.453125" style="51" customWidth="1"/>
    <col min="12044" max="12044" width="22" style="51" bestFit="1" customWidth="1"/>
    <col min="12045" max="12288" width="11.453125" style="51"/>
    <col min="12289" max="12289" width="4.26953125" style="51" customWidth="1"/>
    <col min="12290" max="12290" width="93.54296875" style="51" customWidth="1"/>
    <col min="12291" max="12291" width="16" style="51" customWidth="1"/>
    <col min="12292" max="12292" width="15.1796875" style="51" customWidth="1"/>
    <col min="12293" max="12293" width="3.1796875" style="51" customWidth="1"/>
    <col min="12294" max="12294" width="15.26953125" style="51" customWidth="1"/>
    <col min="12295" max="12295" width="14.54296875" style="51" customWidth="1"/>
    <col min="12296" max="12296" width="34.54296875" style="51" customWidth="1"/>
    <col min="12297" max="12297" width="15.7265625" style="51" customWidth="1"/>
    <col min="12298" max="12298" width="13.81640625" style="51" bestFit="1" customWidth="1"/>
    <col min="12299" max="12299" width="11.453125" style="51" customWidth="1"/>
    <col min="12300" max="12300" width="22" style="51" bestFit="1" customWidth="1"/>
    <col min="12301" max="12544" width="11.453125" style="51"/>
    <col min="12545" max="12545" width="4.26953125" style="51" customWidth="1"/>
    <col min="12546" max="12546" width="93.54296875" style="51" customWidth="1"/>
    <col min="12547" max="12547" width="16" style="51" customWidth="1"/>
    <col min="12548" max="12548" width="15.1796875" style="51" customWidth="1"/>
    <col min="12549" max="12549" width="3.1796875" style="51" customWidth="1"/>
    <col min="12550" max="12550" width="15.26953125" style="51" customWidth="1"/>
    <col min="12551" max="12551" width="14.54296875" style="51" customWidth="1"/>
    <col min="12552" max="12552" width="34.54296875" style="51" customWidth="1"/>
    <col min="12553" max="12553" width="15.7265625" style="51" customWidth="1"/>
    <col min="12554" max="12554" width="13.81640625" style="51" bestFit="1" customWidth="1"/>
    <col min="12555" max="12555" width="11.453125" style="51" customWidth="1"/>
    <col min="12556" max="12556" width="22" style="51" bestFit="1" customWidth="1"/>
    <col min="12557" max="12800" width="11.453125" style="51"/>
    <col min="12801" max="12801" width="4.26953125" style="51" customWidth="1"/>
    <col min="12802" max="12802" width="93.54296875" style="51" customWidth="1"/>
    <col min="12803" max="12803" width="16" style="51" customWidth="1"/>
    <col min="12804" max="12804" width="15.1796875" style="51" customWidth="1"/>
    <col min="12805" max="12805" width="3.1796875" style="51" customWidth="1"/>
    <col min="12806" max="12806" width="15.26953125" style="51" customWidth="1"/>
    <col min="12807" max="12807" width="14.54296875" style="51" customWidth="1"/>
    <col min="12808" max="12808" width="34.54296875" style="51" customWidth="1"/>
    <col min="12809" max="12809" width="15.7265625" style="51" customWidth="1"/>
    <col min="12810" max="12810" width="13.81640625" style="51" bestFit="1" customWidth="1"/>
    <col min="12811" max="12811" width="11.453125" style="51" customWidth="1"/>
    <col min="12812" max="12812" width="22" style="51" bestFit="1" customWidth="1"/>
    <col min="12813" max="13056" width="11.453125" style="51"/>
    <col min="13057" max="13057" width="4.26953125" style="51" customWidth="1"/>
    <col min="13058" max="13058" width="93.54296875" style="51" customWidth="1"/>
    <col min="13059" max="13059" width="16" style="51" customWidth="1"/>
    <col min="13060" max="13060" width="15.1796875" style="51" customWidth="1"/>
    <col min="13061" max="13061" width="3.1796875" style="51" customWidth="1"/>
    <col min="13062" max="13062" width="15.26953125" style="51" customWidth="1"/>
    <col min="13063" max="13063" width="14.54296875" style="51" customWidth="1"/>
    <col min="13064" max="13064" width="34.54296875" style="51" customWidth="1"/>
    <col min="13065" max="13065" width="15.7265625" style="51" customWidth="1"/>
    <col min="13066" max="13066" width="13.81640625" style="51" bestFit="1" customWidth="1"/>
    <col min="13067" max="13067" width="11.453125" style="51" customWidth="1"/>
    <col min="13068" max="13068" width="22" style="51" bestFit="1" customWidth="1"/>
    <col min="13069" max="13312" width="11.453125" style="51"/>
    <col min="13313" max="13313" width="4.26953125" style="51" customWidth="1"/>
    <col min="13314" max="13314" width="93.54296875" style="51" customWidth="1"/>
    <col min="13315" max="13315" width="16" style="51" customWidth="1"/>
    <col min="13316" max="13316" width="15.1796875" style="51" customWidth="1"/>
    <col min="13317" max="13317" width="3.1796875" style="51" customWidth="1"/>
    <col min="13318" max="13318" width="15.26953125" style="51" customWidth="1"/>
    <col min="13319" max="13319" width="14.54296875" style="51" customWidth="1"/>
    <col min="13320" max="13320" width="34.54296875" style="51" customWidth="1"/>
    <col min="13321" max="13321" width="15.7265625" style="51" customWidth="1"/>
    <col min="13322" max="13322" width="13.81640625" style="51" bestFit="1" customWidth="1"/>
    <col min="13323" max="13323" width="11.453125" style="51" customWidth="1"/>
    <col min="13324" max="13324" width="22" style="51" bestFit="1" customWidth="1"/>
    <col min="13325" max="13568" width="11.453125" style="51"/>
    <col min="13569" max="13569" width="4.26953125" style="51" customWidth="1"/>
    <col min="13570" max="13570" width="93.54296875" style="51" customWidth="1"/>
    <col min="13571" max="13571" width="16" style="51" customWidth="1"/>
    <col min="13572" max="13572" width="15.1796875" style="51" customWidth="1"/>
    <col min="13573" max="13573" width="3.1796875" style="51" customWidth="1"/>
    <col min="13574" max="13574" width="15.26953125" style="51" customWidth="1"/>
    <col min="13575" max="13575" width="14.54296875" style="51" customWidth="1"/>
    <col min="13576" max="13576" width="34.54296875" style="51" customWidth="1"/>
    <col min="13577" max="13577" width="15.7265625" style="51" customWidth="1"/>
    <col min="13578" max="13578" width="13.81640625" style="51" bestFit="1" customWidth="1"/>
    <col min="13579" max="13579" width="11.453125" style="51" customWidth="1"/>
    <col min="13580" max="13580" width="22" style="51" bestFit="1" customWidth="1"/>
    <col min="13581" max="13824" width="11.453125" style="51"/>
    <col min="13825" max="13825" width="4.26953125" style="51" customWidth="1"/>
    <col min="13826" max="13826" width="93.54296875" style="51" customWidth="1"/>
    <col min="13827" max="13827" width="16" style="51" customWidth="1"/>
    <col min="13828" max="13828" width="15.1796875" style="51" customWidth="1"/>
    <col min="13829" max="13829" width="3.1796875" style="51" customWidth="1"/>
    <col min="13830" max="13830" width="15.26953125" style="51" customWidth="1"/>
    <col min="13831" max="13831" width="14.54296875" style="51" customWidth="1"/>
    <col min="13832" max="13832" width="34.54296875" style="51" customWidth="1"/>
    <col min="13833" max="13833" width="15.7265625" style="51" customWidth="1"/>
    <col min="13834" max="13834" width="13.81640625" style="51" bestFit="1" customWidth="1"/>
    <col min="13835" max="13835" width="11.453125" style="51" customWidth="1"/>
    <col min="13836" max="13836" width="22" style="51" bestFit="1" customWidth="1"/>
    <col min="13837" max="14080" width="11.453125" style="51"/>
    <col min="14081" max="14081" width="4.26953125" style="51" customWidth="1"/>
    <col min="14082" max="14082" width="93.54296875" style="51" customWidth="1"/>
    <col min="14083" max="14083" width="16" style="51" customWidth="1"/>
    <col min="14084" max="14084" width="15.1796875" style="51" customWidth="1"/>
    <col min="14085" max="14085" width="3.1796875" style="51" customWidth="1"/>
    <col min="14086" max="14086" width="15.26953125" style="51" customWidth="1"/>
    <col min="14087" max="14087" width="14.54296875" style="51" customWidth="1"/>
    <col min="14088" max="14088" width="34.54296875" style="51" customWidth="1"/>
    <col min="14089" max="14089" width="15.7265625" style="51" customWidth="1"/>
    <col min="14090" max="14090" width="13.81640625" style="51" bestFit="1" customWidth="1"/>
    <col min="14091" max="14091" width="11.453125" style="51" customWidth="1"/>
    <col min="14092" max="14092" width="22" style="51" bestFit="1" customWidth="1"/>
    <col min="14093" max="14336" width="11.453125" style="51"/>
    <col min="14337" max="14337" width="4.26953125" style="51" customWidth="1"/>
    <col min="14338" max="14338" width="93.54296875" style="51" customWidth="1"/>
    <col min="14339" max="14339" width="16" style="51" customWidth="1"/>
    <col min="14340" max="14340" width="15.1796875" style="51" customWidth="1"/>
    <col min="14341" max="14341" width="3.1796875" style="51" customWidth="1"/>
    <col min="14342" max="14342" width="15.26953125" style="51" customWidth="1"/>
    <col min="14343" max="14343" width="14.54296875" style="51" customWidth="1"/>
    <col min="14344" max="14344" width="34.54296875" style="51" customWidth="1"/>
    <col min="14345" max="14345" width="15.7265625" style="51" customWidth="1"/>
    <col min="14346" max="14346" width="13.81640625" style="51" bestFit="1" customWidth="1"/>
    <col min="14347" max="14347" width="11.453125" style="51" customWidth="1"/>
    <col min="14348" max="14348" width="22" style="51" bestFit="1" customWidth="1"/>
    <col min="14349" max="14592" width="11.453125" style="51"/>
    <col min="14593" max="14593" width="4.26953125" style="51" customWidth="1"/>
    <col min="14594" max="14594" width="93.54296875" style="51" customWidth="1"/>
    <col min="14595" max="14595" width="16" style="51" customWidth="1"/>
    <col min="14596" max="14596" width="15.1796875" style="51" customWidth="1"/>
    <col min="14597" max="14597" width="3.1796875" style="51" customWidth="1"/>
    <col min="14598" max="14598" width="15.26953125" style="51" customWidth="1"/>
    <col min="14599" max="14599" width="14.54296875" style="51" customWidth="1"/>
    <col min="14600" max="14600" width="34.54296875" style="51" customWidth="1"/>
    <col min="14601" max="14601" width="15.7265625" style="51" customWidth="1"/>
    <col min="14602" max="14602" width="13.81640625" style="51" bestFit="1" customWidth="1"/>
    <col min="14603" max="14603" width="11.453125" style="51" customWidth="1"/>
    <col min="14604" max="14604" width="22" style="51" bestFit="1" customWidth="1"/>
    <col min="14605" max="14848" width="11.453125" style="51"/>
    <col min="14849" max="14849" width="4.26953125" style="51" customWidth="1"/>
    <col min="14850" max="14850" width="93.54296875" style="51" customWidth="1"/>
    <col min="14851" max="14851" width="16" style="51" customWidth="1"/>
    <col min="14852" max="14852" width="15.1796875" style="51" customWidth="1"/>
    <col min="14853" max="14853" width="3.1796875" style="51" customWidth="1"/>
    <col min="14854" max="14854" width="15.26953125" style="51" customWidth="1"/>
    <col min="14855" max="14855" width="14.54296875" style="51" customWidth="1"/>
    <col min="14856" max="14856" width="34.54296875" style="51" customWidth="1"/>
    <col min="14857" max="14857" width="15.7265625" style="51" customWidth="1"/>
    <col min="14858" max="14858" width="13.81640625" style="51" bestFit="1" customWidth="1"/>
    <col min="14859" max="14859" width="11.453125" style="51" customWidth="1"/>
    <col min="14860" max="14860" width="22" style="51" bestFit="1" customWidth="1"/>
    <col min="14861" max="15104" width="11.453125" style="51"/>
    <col min="15105" max="15105" width="4.26953125" style="51" customWidth="1"/>
    <col min="15106" max="15106" width="93.54296875" style="51" customWidth="1"/>
    <col min="15107" max="15107" width="16" style="51" customWidth="1"/>
    <col min="15108" max="15108" width="15.1796875" style="51" customWidth="1"/>
    <col min="15109" max="15109" width="3.1796875" style="51" customWidth="1"/>
    <col min="15110" max="15110" width="15.26953125" style="51" customWidth="1"/>
    <col min="15111" max="15111" width="14.54296875" style="51" customWidth="1"/>
    <col min="15112" max="15112" width="34.54296875" style="51" customWidth="1"/>
    <col min="15113" max="15113" width="15.7265625" style="51" customWidth="1"/>
    <col min="15114" max="15114" width="13.81640625" style="51" bestFit="1" customWidth="1"/>
    <col min="15115" max="15115" width="11.453125" style="51" customWidth="1"/>
    <col min="15116" max="15116" width="22" style="51" bestFit="1" customWidth="1"/>
    <col min="15117" max="15360" width="11.453125" style="51"/>
    <col min="15361" max="15361" width="4.26953125" style="51" customWidth="1"/>
    <col min="15362" max="15362" width="93.54296875" style="51" customWidth="1"/>
    <col min="15363" max="15363" width="16" style="51" customWidth="1"/>
    <col min="15364" max="15364" width="15.1796875" style="51" customWidth="1"/>
    <col min="15365" max="15365" width="3.1796875" style="51" customWidth="1"/>
    <col min="15366" max="15366" width="15.26953125" style="51" customWidth="1"/>
    <col min="15367" max="15367" width="14.54296875" style="51" customWidth="1"/>
    <col min="15368" max="15368" width="34.54296875" style="51" customWidth="1"/>
    <col min="15369" max="15369" width="15.7265625" style="51" customWidth="1"/>
    <col min="15370" max="15370" width="13.81640625" style="51" bestFit="1" customWidth="1"/>
    <col min="15371" max="15371" width="11.453125" style="51" customWidth="1"/>
    <col min="15372" max="15372" width="22" style="51" bestFit="1" customWidth="1"/>
    <col min="15373" max="15616" width="11.453125" style="51"/>
    <col min="15617" max="15617" width="4.26953125" style="51" customWidth="1"/>
    <col min="15618" max="15618" width="93.54296875" style="51" customWidth="1"/>
    <col min="15619" max="15619" width="16" style="51" customWidth="1"/>
    <col min="15620" max="15620" width="15.1796875" style="51" customWidth="1"/>
    <col min="15621" max="15621" width="3.1796875" style="51" customWidth="1"/>
    <col min="15622" max="15622" width="15.26953125" style="51" customWidth="1"/>
    <col min="15623" max="15623" width="14.54296875" style="51" customWidth="1"/>
    <col min="15624" max="15624" width="34.54296875" style="51" customWidth="1"/>
    <col min="15625" max="15625" width="15.7265625" style="51" customWidth="1"/>
    <col min="15626" max="15626" width="13.81640625" style="51" bestFit="1" customWidth="1"/>
    <col min="15627" max="15627" width="11.453125" style="51" customWidth="1"/>
    <col min="15628" max="15628" width="22" style="51" bestFit="1" customWidth="1"/>
    <col min="15629" max="15872" width="11.453125" style="51"/>
    <col min="15873" max="15873" width="4.26953125" style="51" customWidth="1"/>
    <col min="15874" max="15874" width="93.54296875" style="51" customWidth="1"/>
    <col min="15875" max="15875" width="16" style="51" customWidth="1"/>
    <col min="15876" max="15876" width="15.1796875" style="51" customWidth="1"/>
    <col min="15877" max="15877" width="3.1796875" style="51" customWidth="1"/>
    <col min="15878" max="15878" width="15.26953125" style="51" customWidth="1"/>
    <col min="15879" max="15879" width="14.54296875" style="51" customWidth="1"/>
    <col min="15880" max="15880" width="34.54296875" style="51" customWidth="1"/>
    <col min="15881" max="15881" width="15.7265625" style="51" customWidth="1"/>
    <col min="15882" max="15882" width="13.81640625" style="51" bestFit="1" customWidth="1"/>
    <col min="15883" max="15883" width="11.453125" style="51" customWidth="1"/>
    <col min="15884" max="15884" width="22" style="51" bestFit="1" customWidth="1"/>
    <col min="15885" max="16128" width="11.453125" style="51"/>
    <col min="16129" max="16129" width="4.26953125" style="51" customWidth="1"/>
    <col min="16130" max="16130" width="93.54296875" style="51" customWidth="1"/>
    <col min="16131" max="16131" width="16" style="51" customWidth="1"/>
    <col min="16132" max="16132" width="15.1796875" style="51" customWidth="1"/>
    <col min="16133" max="16133" width="3.1796875" style="51" customWidth="1"/>
    <col min="16134" max="16134" width="15.26953125" style="51" customWidth="1"/>
    <col min="16135" max="16135" width="14.54296875" style="51" customWidth="1"/>
    <col min="16136" max="16136" width="34.54296875" style="51" customWidth="1"/>
    <col min="16137" max="16137" width="15.7265625" style="51" customWidth="1"/>
    <col min="16138" max="16138" width="13.81640625" style="51" bestFit="1" customWidth="1"/>
    <col min="16139" max="16139" width="11.453125" style="51" customWidth="1"/>
    <col min="16140" max="16140" width="22" style="51" bestFit="1" customWidth="1"/>
    <col min="16141" max="16384" width="11.453125" style="51"/>
  </cols>
  <sheetData>
    <row r="1" spans="1:12" ht="30.75" customHeight="1" x14ac:dyDescent="0.55000000000000004">
      <c r="B1" s="823" t="s">
        <v>84</v>
      </c>
      <c r="C1" s="823"/>
      <c r="D1" s="823"/>
      <c r="E1" s="823"/>
      <c r="F1" s="823"/>
      <c r="G1" s="823"/>
      <c r="H1" s="48"/>
      <c r="I1" s="49"/>
      <c r="J1" s="50">
        <v>2013</v>
      </c>
      <c r="K1" s="50">
        <v>2014</v>
      </c>
      <c r="L1" s="50">
        <v>2015</v>
      </c>
    </row>
    <row r="2" spans="1:12" ht="54.75" customHeight="1" x14ac:dyDescent="0.3">
      <c r="B2" s="824" t="s">
        <v>85</v>
      </c>
      <c r="C2" s="824"/>
      <c r="D2" s="824"/>
      <c r="E2" s="824"/>
      <c r="F2" s="824"/>
      <c r="G2" s="824"/>
      <c r="H2" s="52"/>
    </row>
    <row r="3" spans="1:12" ht="3" customHeight="1" x14ac:dyDescent="0.3">
      <c r="A3" s="53"/>
      <c r="B3" s="54" t="s">
        <v>86</v>
      </c>
      <c r="C3" s="54"/>
      <c r="D3" s="55"/>
      <c r="E3" s="54"/>
      <c r="F3" s="54"/>
      <c r="G3" s="55"/>
    </row>
    <row r="4" spans="1:12" ht="39.75" customHeight="1" x14ac:dyDescent="0.3">
      <c r="A4" s="825" t="s">
        <v>5</v>
      </c>
      <c r="B4" s="826"/>
      <c r="C4" s="829">
        <v>41639</v>
      </c>
      <c r="D4" s="829">
        <v>42004</v>
      </c>
      <c r="E4" s="830"/>
      <c r="F4" s="833" t="s">
        <v>87</v>
      </c>
      <c r="G4" s="825"/>
    </row>
    <row r="5" spans="1:12" ht="18.75" customHeight="1" x14ac:dyDescent="0.3">
      <c r="A5" s="825"/>
      <c r="B5" s="826"/>
      <c r="C5" s="831"/>
      <c r="D5" s="831"/>
      <c r="E5" s="832"/>
      <c r="F5" s="56" t="s">
        <v>88</v>
      </c>
      <c r="G5" s="57" t="s">
        <v>89</v>
      </c>
    </row>
    <row r="6" spans="1:12" ht="15" customHeight="1" x14ac:dyDescent="0.35">
      <c r="A6" s="58" t="s">
        <v>90</v>
      </c>
      <c r="B6" s="59" t="s">
        <v>91</v>
      </c>
      <c r="C6" s="60"/>
      <c r="D6" s="61"/>
      <c r="E6" s="62"/>
      <c r="F6" s="63"/>
      <c r="G6" s="64"/>
    </row>
    <row r="7" spans="1:12" ht="19.5" customHeight="1" x14ac:dyDescent="0.35">
      <c r="A7" s="806">
        <v>1</v>
      </c>
      <c r="B7" s="65" t="s">
        <v>92</v>
      </c>
      <c r="C7" s="66">
        <v>2685198</v>
      </c>
      <c r="D7" s="67">
        <v>2826021</v>
      </c>
      <c r="E7" s="68"/>
      <c r="F7" s="69">
        <v>140823</v>
      </c>
      <c r="G7" s="70">
        <v>5.2444177300891779</v>
      </c>
      <c r="I7" s="71"/>
      <c r="J7" s="71"/>
    </row>
    <row r="8" spans="1:12" ht="15" customHeight="1" x14ac:dyDescent="0.35">
      <c r="A8" s="812"/>
      <c r="B8" s="72" t="s">
        <v>93</v>
      </c>
      <c r="C8" s="73">
        <v>177849</v>
      </c>
      <c r="D8" s="74">
        <v>183747</v>
      </c>
      <c r="E8" s="75"/>
      <c r="F8" s="76">
        <v>5898</v>
      </c>
      <c r="G8" s="77">
        <v>3.3162964087512439</v>
      </c>
      <c r="I8" s="78"/>
      <c r="J8" s="78"/>
    </row>
    <row r="9" spans="1:12" ht="15" customHeight="1" x14ac:dyDescent="0.35">
      <c r="A9" s="812"/>
      <c r="B9" s="79" t="s">
        <v>94</v>
      </c>
      <c r="C9" s="80">
        <v>82151</v>
      </c>
      <c r="D9" s="81">
        <v>83798</v>
      </c>
      <c r="E9" s="82"/>
      <c r="F9" s="83">
        <v>1647</v>
      </c>
      <c r="G9" s="84">
        <v>2.0048447371304059</v>
      </c>
    </row>
    <row r="10" spans="1:12" ht="15" customHeight="1" x14ac:dyDescent="0.35">
      <c r="A10" s="812"/>
      <c r="B10" s="79" t="s">
        <v>95</v>
      </c>
      <c r="C10" s="80">
        <v>95698</v>
      </c>
      <c r="D10" s="81">
        <v>99949</v>
      </c>
      <c r="E10" s="82"/>
      <c r="F10" s="83">
        <v>4251</v>
      </c>
      <c r="G10" s="84">
        <v>4.4420991034295385</v>
      </c>
    </row>
    <row r="11" spans="1:12" ht="21.75" customHeight="1" x14ac:dyDescent="0.35">
      <c r="A11" s="812"/>
      <c r="B11" s="72" t="s">
        <v>96</v>
      </c>
      <c r="C11" s="73">
        <v>2507349</v>
      </c>
      <c r="D11" s="74">
        <v>2642274</v>
      </c>
      <c r="E11" s="85"/>
      <c r="F11" s="76">
        <v>134925</v>
      </c>
      <c r="G11" s="77">
        <v>5.381181478924554</v>
      </c>
    </row>
    <row r="12" spans="1:12" ht="15" customHeight="1" x14ac:dyDescent="0.35">
      <c r="A12" s="86"/>
      <c r="B12" s="79" t="s">
        <v>97</v>
      </c>
      <c r="C12" s="80">
        <v>1173238</v>
      </c>
      <c r="D12" s="81">
        <v>1239021</v>
      </c>
      <c r="E12" s="85"/>
      <c r="F12" s="83">
        <v>65783</v>
      </c>
      <c r="G12" s="84">
        <v>5.6069612474195347</v>
      </c>
    </row>
    <row r="13" spans="1:12" ht="15" customHeight="1" x14ac:dyDescent="0.35">
      <c r="A13" s="87"/>
      <c r="B13" s="88" t="s">
        <v>98</v>
      </c>
      <c r="C13" s="89">
        <v>1334111</v>
      </c>
      <c r="D13" s="90">
        <v>1403253</v>
      </c>
      <c r="E13" s="91"/>
      <c r="F13" s="92">
        <v>69142</v>
      </c>
      <c r="G13" s="93">
        <v>5.1826272326665475</v>
      </c>
    </row>
    <row r="14" spans="1:12" ht="15" customHeight="1" x14ac:dyDescent="0.35">
      <c r="A14" s="94">
        <v>2</v>
      </c>
      <c r="B14" s="72" t="s">
        <v>99</v>
      </c>
      <c r="C14" s="73">
        <v>14508</v>
      </c>
      <c r="D14" s="74">
        <v>13661</v>
      </c>
      <c r="E14" s="75"/>
      <c r="F14" s="95">
        <v>-847</v>
      </c>
      <c r="G14" s="77">
        <v>-5.8381582575130961</v>
      </c>
      <c r="I14" s="96"/>
    </row>
    <row r="15" spans="1:12" ht="15" customHeight="1" x14ac:dyDescent="0.35">
      <c r="A15" s="86"/>
      <c r="B15" s="97" t="s">
        <v>100</v>
      </c>
      <c r="C15" s="80">
        <v>10654</v>
      </c>
      <c r="D15" s="81">
        <v>10366</v>
      </c>
      <c r="E15" s="82"/>
      <c r="F15" s="98">
        <v>-288</v>
      </c>
      <c r="G15" s="84">
        <v>-2.7032100619485639</v>
      </c>
    </row>
    <row r="16" spans="1:12" ht="15" customHeight="1" x14ac:dyDescent="0.35">
      <c r="A16" s="99"/>
      <c r="B16" s="100" t="s">
        <v>101</v>
      </c>
      <c r="C16" s="89">
        <v>3854</v>
      </c>
      <c r="D16" s="90">
        <v>3295</v>
      </c>
      <c r="E16" s="101"/>
      <c r="F16" s="102">
        <v>-559</v>
      </c>
      <c r="G16" s="93">
        <v>-14.504411001556825</v>
      </c>
    </row>
    <row r="17" spans="1:7" ht="15" customHeight="1" x14ac:dyDescent="0.35">
      <c r="A17" s="86">
        <v>3</v>
      </c>
      <c r="B17" s="72" t="s">
        <v>102</v>
      </c>
      <c r="C17" s="103">
        <v>656666</v>
      </c>
      <c r="D17" s="74">
        <v>660117</v>
      </c>
      <c r="E17" s="104"/>
      <c r="F17" s="105">
        <v>3451</v>
      </c>
      <c r="G17" s="77">
        <v>0.525533528460435</v>
      </c>
    </row>
    <row r="18" spans="1:7" ht="15" customHeight="1" x14ac:dyDescent="0.35">
      <c r="A18" s="86"/>
      <c r="B18" s="97" t="s">
        <v>97</v>
      </c>
      <c r="C18" s="106">
        <v>322927</v>
      </c>
      <c r="D18" s="81">
        <v>320579</v>
      </c>
      <c r="E18" s="104"/>
      <c r="F18" s="107">
        <v>-2348</v>
      </c>
      <c r="G18" s="84">
        <v>-0.7270993134671303</v>
      </c>
    </row>
    <row r="19" spans="1:7" ht="15" customHeight="1" x14ac:dyDescent="0.35">
      <c r="A19" s="99"/>
      <c r="B19" s="100" t="s">
        <v>98</v>
      </c>
      <c r="C19" s="108">
        <v>333739</v>
      </c>
      <c r="D19" s="90">
        <v>339538</v>
      </c>
      <c r="E19" s="109"/>
      <c r="F19" s="110">
        <v>5799</v>
      </c>
      <c r="G19" s="93">
        <v>1.737585358618561</v>
      </c>
    </row>
    <row r="20" spans="1:7" ht="17.25" customHeight="1" x14ac:dyDescent="0.35">
      <c r="A20" s="806">
        <v>4</v>
      </c>
      <c r="B20" s="111" t="s">
        <v>103</v>
      </c>
      <c r="C20" s="112">
        <v>42.968241689978754</v>
      </c>
      <c r="D20" s="113">
        <v>44.92579191850465</v>
      </c>
      <c r="E20" s="114"/>
      <c r="F20" s="115">
        <v>1.9575502285258963</v>
      </c>
      <c r="G20" s="116"/>
    </row>
    <row r="21" spans="1:7" ht="15" customHeight="1" x14ac:dyDescent="0.35">
      <c r="A21" s="812"/>
      <c r="B21" s="72" t="s">
        <v>104</v>
      </c>
      <c r="C21" s="117">
        <v>2.8459200462390601</v>
      </c>
      <c r="D21" s="118">
        <v>2.9402991905284175</v>
      </c>
      <c r="E21" s="119"/>
      <c r="F21" s="120">
        <v>9.4379144289357564E-2</v>
      </c>
      <c r="G21" s="121"/>
    </row>
    <row r="22" spans="1:7" ht="15" customHeight="1" x14ac:dyDescent="0.35">
      <c r="A22" s="812"/>
      <c r="B22" s="122" t="s">
        <v>105</v>
      </c>
      <c r="C22" s="123">
        <v>1.3145712245701973</v>
      </c>
      <c r="D22" s="124">
        <v>1.3409263365818236</v>
      </c>
      <c r="E22" s="125"/>
      <c r="F22" s="126">
        <v>2.6355112011626325E-2</v>
      </c>
      <c r="G22" s="127"/>
    </row>
    <row r="23" spans="1:7" ht="15" customHeight="1" x14ac:dyDescent="0.35">
      <c r="A23" s="812"/>
      <c r="B23" s="122" t="s">
        <v>106</v>
      </c>
      <c r="C23" s="123">
        <v>1.5313488216688627</v>
      </c>
      <c r="D23" s="124">
        <v>1.5993728539465939</v>
      </c>
      <c r="E23" s="125"/>
      <c r="F23" s="126">
        <v>6.8024032277731239E-2</v>
      </c>
      <c r="G23" s="127"/>
    </row>
    <row r="24" spans="1:7" ht="15" customHeight="1" x14ac:dyDescent="0.35">
      <c r="A24" s="812"/>
      <c r="B24" s="72" t="s">
        <v>107</v>
      </c>
      <c r="C24" s="117">
        <v>40.122321643739696</v>
      </c>
      <c r="D24" s="118">
        <v>42.00473100365317</v>
      </c>
      <c r="E24" s="128"/>
      <c r="F24" s="120">
        <v>1.8824093599134741</v>
      </c>
      <c r="G24" s="127"/>
    </row>
    <row r="25" spans="1:7" ht="15" customHeight="1" x14ac:dyDescent="0.35">
      <c r="A25" s="86"/>
      <c r="B25" s="122" t="s">
        <v>97</v>
      </c>
      <c r="C25" s="123">
        <v>18.774024836852735</v>
      </c>
      <c r="D25" s="124">
        <v>19.696951872847919</v>
      </c>
      <c r="E25" s="129"/>
      <c r="F25" s="126">
        <v>0.92292703599518333</v>
      </c>
      <c r="G25" s="127"/>
    </row>
    <row r="26" spans="1:7" ht="15" customHeight="1" x14ac:dyDescent="0.35">
      <c r="A26" s="99"/>
      <c r="B26" s="130" t="s">
        <v>98</v>
      </c>
      <c r="C26" s="131">
        <v>21.348296806886957</v>
      </c>
      <c r="D26" s="132">
        <v>22.307779130805255</v>
      </c>
      <c r="E26" s="133"/>
      <c r="F26" s="134">
        <v>0.95948232391829791</v>
      </c>
      <c r="G26" s="135"/>
    </row>
    <row r="27" spans="1:7" ht="18" customHeight="1" x14ac:dyDescent="0.35">
      <c r="A27" s="136">
        <v>5</v>
      </c>
      <c r="B27" s="137" t="s">
        <v>108</v>
      </c>
      <c r="C27" s="138">
        <v>98.548272614702086</v>
      </c>
      <c r="D27" s="139">
        <v>101.10423174949806</v>
      </c>
      <c r="E27" s="140"/>
      <c r="F27" s="141">
        <v>2.5559591347959696</v>
      </c>
      <c r="G27" s="121"/>
    </row>
    <row r="28" spans="1:7" ht="15" customHeight="1" x14ac:dyDescent="0.35">
      <c r="A28" s="136"/>
      <c r="B28" s="72" t="s">
        <v>104</v>
      </c>
      <c r="C28" s="117">
        <v>6.5271580480292908</v>
      </c>
      <c r="D28" s="118">
        <v>6.5737654714083931</v>
      </c>
      <c r="E28" s="119"/>
      <c r="F28" s="120">
        <v>4.660742337910273E-2</v>
      </c>
      <c r="G28" s="121"/>
    </row>
    <row r="29" spans="1:7" ht="15.5" x14ac:dyDescent="0.35">
      <c r="A29" s="136"/>
      <c r="B29" s="122" t="s">
        <v>105</v>
      </c>
      <c r="C29" s="123">
        <v>3.0149877750431782</v>
      </c>
      <c r="D29" s="124">
        <v>2.9979722062024443</v>
      </c>
      <c r="E29" s="125"/>
      <c r="F29" s="126">
        <v>-1.7015568840733852E-2</v>
      </c>
      <c r="G29" s="127"/>
    </row>
    <row r="30" spans="1:7" ht="15" customHeight="1" x14ac:dyDescent="0.35">
      <c r="A30" s="136"/>
      <c r="B30" s="122" t="s">
        <v>106</v>
      </c>
      <c r="C30" s="123">
        <v>3.5121702729861122</v>
      </c>
      <c r="D30" s="124">
        <v>3.5757932652059488</v>
      </c>
      <c r="E30" s="125"/>
      <c r="F30" s="126">
        <v>6.3622992219836583E-2</v>
      </c>
      <c r="G30" s="127"/>
    </row>
    <row r="31" spans="1:7" ht="15" customHeight="1" x14ac:dyDescent="0.35">
      <c r="A31" s="136"/>
      <c r="B31" s="142" t="s">
        <v>109</v>
      </c>
      <c r="C31" s="138">
        <v>92.021114566672807</v>
      </c>
      <c r="D31" s="139">
        <v>94.530466278089662</v>
      </c>
      <c r="E31" s="140"/>
      <c r="F31" s="141">
        <v>2.5093517114168549</v>
      </c>
      <c r="G31" s="127"/>
    </row>
    <row r="32" spans="1:7" ht="15" customHeight="1" x14ac:dyDescent="0.35">
      <c r="A32" s="136"/>
      <c r="B32" s="122" t="s">
        <v>97</v>
      </c>
      <c r="C32" s="143">
        <v>43.058492619884213</v>
      </c>
      <c r="D32" s="144">
        <v>44.327436465084595</v>
      </c>
      <c r="E32" s="145"/>
      <c r="F32" s="146">
        <v>1.2689438452003827</v>
      </c>
      <c r="G32" s="127"/>
    </row>
    <row r="33" spans="1:12" ht="15" customHeight="1" x14ac:dyDescent="0.35">
      <c r="A33" s="136"/>
      <c r="B33" s="130" t="s">
        <v>98</v>
      </c>
      <c r="C33" s="147">
        <v>48.962621946788595</v>
      </c>
      <c r="D33" s="148">
        <v>50.203029813005074</v>
      </c>
      <c r="E33" s="149"/>
      <c r="F33" s="150">
        <v>1.2404078662164792</v>
      </c>
      <c r="G33" s="135"/>
    </row>
    <row r="34" spans="1:12" ht="21" customHeight="1" x14ac:dyDescent="0.35">
      <c r="A34" s="151">
        <v>6</v>
      </c>
      <c r="B34" s="152" t="s">
        <v>110</v>
      </c>
      <c r="C34" s="73">
        <v>2507349</v>
      </c>
      <c r="D34" s="74">
        <v>2642274</v>
      </c>
      <c r="E34" s="85"/>
      <c r="F34" s="76">
        <v>134925</v>
      </c>
      <c r="G34" s="77">
        <v>5.381181478924554</v>
      </c>
      <c r="H34" s="96"/>
    </row>
    <row r="35" spans="1:12" ht="15" customHeight="1" x14ac:dyDescent="0.35">
      <c r="A35" s="136"/>
      <c r="B35" s="153" t="s">
        <v>111</v>
      </c>
      <c r="C35" s="80">
        <v>38</v>
      </c>
      <c r="D35" s="81">
        <v>21</v>
      </c>
      <c r="E35" s="154"/>
      <c r="F35" s="107">
        <v>-17</v>
      </c>
      <c r="G35" s="84">
        <v>-44.736842105263158</v>
      </c>
      <c r="H35" s="96"/>
      <c r="I35" s="96"/>
      <c r="J35" s="155"/>
      <c r="L35" s="155"/>
    </row>
    <row r="36" spans="1:12" ht="15" customHeight="1" x14ac:dyDescent="0.35">
      <c r="A36" s="136"/>
      <c r="B36" s="153" t="s">
        <v>112</v>
      </c>
      <c r="C36" s="80">
        <v>109979</v>
      </c>
      <c r="D36" s="81">
        <v>107958</v>
      </c>
      <c r="E36" s="156"/>
      <c r="F36" s="157">
        <v>-2021</v>
      </c>
      <c r="G36" s="84">
        <v>-1.8376235463133872</v>
      </c>
      <c r="H36" s="96"/>
      <c r="I36" s="96"/>
      <c r="J36" s="155"/>
      <c r="L36" s="155"/>
    </row>
    <row r="37" spans="1:12" ht="15" customHeight="1" x14ac:dyDescent="0.35">
      <c r="A37" s="136"/>
      <c r="B37" s="153" t="s">
        <v>113</v>
      </c>
      <c r="C37" s="80">
        <v>439988</v>
      </c>
      <c r="D37" s="81">
        <v>465575</v>
      </c>
      <c r="E37" s="156"/>
      <c r="F37" s="83">
        <v>25587</v>
      </c>
      <c r="G37" s="84">
        <v>5.8153858741602047</v>
      </c>
      <c r="H37" s="96"/>
      <c r="I37" s="96"/>
      <c r="J37" s="155"/>
      <c r="L37" s="155"/>
    </row>
    <row r="38" spans="1:12" ht="15" customHeight="1" x14ac:dyDescent="0.35">
      <c r="A38" s="136"/>
      <c r="B38" s="153" t="s">
        <v>114</v>
      </c>
      <c r="C38" s="80">
        <v>427308</v>
      </c>
      <c r="D38" s="81">
        <v>467279</v>
      </c>
      <c r="E38" s="156"/>
      <c r="F38" s="83">
        <v>39971</v>
      </c>
      <c r="G38" s="84">
        <v>9.3541426792851983</v>
      </c>
      <c r="H38" s="96"/>
      <c r="I38" s="96"/>
      <c r="J38" s="155"/>
      <c r="L38" s="155"/>
    </row>
    <row r="39" spans="1:12" ht="15" customHeight="1" x14ac:dyDescent="0.35">
      <c r="A39" s="136"/>
      <c r="B39" s="153" t="s">
        <v>115</v>
      </c>
      <c r="C39" s="80">
        <v>389909</v>
      </c>
      <c r="D39" s="81">
        <v>390380</v>
      </c>
      <c r="E39" s="156"/>
      <c r="F39" s="157">
        <v>471</v>
      </c>
      <c r="G39" s="84">
        <v>0.12079741683315851</v>
      </c>
      <c r="H39" s="96"/>
      <c r="I39" s="96"/>
      <c r="J39" s="155"/>
      <c r="L39" s="155"/>
    </row>
    <row r="40" spans="1:12" ht="15" customHeight="1" x14ac:dyDescent="0.35">
      <c r="A40" s="136"/>
      <c r="B40" s="153" t="s">
        <v>116</v>
      </c>
      <c r="C40" s="80">
        <v>366603</v>
      </c>
      <c r="D40" s="81">
        <v>387380</v>
      </c>
      <c r="E40" s="156"/>
      <c r="F40" s="83">
        <v>20777</v>
      </c>
      <c r="G40" s="84">
        <v>5.667438618887461</v>
      </c>
      <c r="H40" s="96"/>
      <c r="I40" s="96"/>
      <c r="J40" s="155"/>
      <c r="L40" s="155"/>
    </row>
    <row r="41" spans="1:12" ht="15" customHeight="1" x14ac:dyDescent="0.35">
      <c r="A41" s="136"/>
      <c r="B41" s="153" t="s">
        <v>117</v>
      </c>
      <c r="C41" s="80">
        <v>272731</v>
      </c>
      <c r="D41" s="81">
        <v>294875</v>
      </c>
      <c r="E41" s="156"/>
      <c r="F41" s="83">
        <v>22144</v>
      </c>
      <c r="G41" s="84">
        <v>8.119355702138737</v>
      </c>
      <c r="H41" s="96"/>
      <c r="I41" s="96"/>
      <c r="J41" s="155"/>
      <c r="L41" s="155"/>
    </row>
    <row r="42" spans="1:12" ht="15" customHeight="1" x14ac:dyDescent="0.35">
      <c r="A42" s="136"/>
      <c r="B42" s="153" t="s">
        <v>118</v>
      </c>
      <c r="C42" s="80">
        <v>201467</v>
      </c>
      <c r="D42" s="81">
        <v>214583</v>
      </c>
      <c r="E42" s="156"/>
      <c r="F42" s="83">
        <v>13116</v>
      </c>
      <c r="G42" s="84">
        <v>6.5102473357919663</v>
      </c>
      <c r="H42" s="96"/>
      <c r="I42" s="96"/>
      <c r="J42" s="155"/>
      <c r="L42" s="155"/>
    </row>
    <row r="43" spans="1:12" ht="15" customHeight="1" x14ac:dyDescent="0.35">
      <c r="A43" s="136"/>
      <c r="B43" s="153" t="s">
        <v>119</v>
      </c>
      <c r="C43" s="80">
        <v>135449</v>
      </c>
      <c r="D43" s="81">
        <v>149873</v>
      </c>
      <c r="E43" s="156"/>
      <c r="F43" s="83">
        <v>14424</v>
      </c>
      <c r="G43" s="84">
        <v>10.649026570886459</v>
      </c>
      <c r="H43" s="96"/>
      <c r="I43" s="96"/>
      <c r="J43" s="155"/>
      <c r="L43" s="155"/>
    </row>
    <row r="44" spans="1:12" ht="15" customHeight="1" x14ac:dyDescent="0.35">
      <c r="A44" s="136"/>
      <c r="B44" s="153" t="s">
        <v>120</v>
      </c>
      <c r="C44" s="80">
        <v>87539</v>
      </c>
      <c r="D44" s="81">
        <v>89234</v>
      </c>
      <c r="E44" s="156"/>
      <c r="F44" s="98">
        <v>1695</v>
      </c>
      <c r="G44" s="84">
        <v>1.936279829561681</v>
      </c>
      <c r="H44" s="96"/>
      <c r="I44" s="96"/>
      <c r="J44" s="155"/>
      <c r="L44" s="155"/>
    </row>
    <row r="45" spans="1:12" ht="15" customHeight="1" x14ac:dyDescent="0.35">
      <c r="A45" s="136"/>
      <c r="B45" s="153" t="s">
        <v>121</v>
      </c>
      <c r="C45" s="80">
        <v>54977</v>
      </c>
      <c r="D45" s="81">
        <v>48604</v>
      </c>
      <c r="E45" s="156"/>
      <c r="F45" s="158">
        <v>-6373</v>
      </c>
      <c r="G45" s="84">
        <v>-11.592120341233606</v>
      </c>
      <c r="H45" s="96"/>
      <c r="I45" s="96"/>
      <c r="J45" s="155"/>
      <c r="L45" s="155"/>
    </row>
    <row r="46" spans="1:12" ht="15" customHeight="1" x14ac:dyDescent="0.35">
      <c r="A46" s="136"/>
      <c r="B46" s="153" t="s">
        <v>122</v>
      </c>
      <c r="C46" s="80">
        <v>17874</v>
      </c>
      <c r="D46" s="81">
        <v>21236</v>
      </c>
      <c r="E46" s="156"/>
      <c r="F46" s="83">
        <v>3362</v>
      </c>
      <c r="G46" s="84">
        <v>18.809443884972584</v>
      </c>
      <c r="H46" s="96"/>
      <c r="I46" s="96"/>
      <c r="J46" s="155"/>
      <c r="L46" s="155"/>
    </row>
    <row r="47" spans="1:12" ht="15" customHeight="1" x14ac:dyDescent="0.35">
      <c r="A47" s="136"/>
      <c r="B47" s="153" t="s">
        <v>123</v>
      </c>
      <c r="C47" s="80">
        <v>3114</v>
      </c>
      <c r="D47" s="81">
        <v>4809</v>
      </c>
      <c r="E47" s="159"/>
      <c r="F47" s="83">
        <v>1695</v>
      </c>
      <c r="G47" s="84">
        <v>54.431599229287087</v>
      </c>
      <c r="H47" s="96"/>
      <c r="I47" s="96"/>
      <c r="J47" s="155"/>
      <c r="L47" s="155"/>
    </row>
    <row r="48" spans="1:12" ht="15" customHeight="1" x14ac:dyDescent="0.35">
      <c r="A48" s="136"/>
      <c r="B48" s="153" t="s">
        <v>124</v>
      </c>
      <c r="C48" s="80">
        <v>241</v>
      </c>
      <c r="D48" s="81">
        <v>304</v>
      </c>
      <c r="E48" s="159"/>
      <c r="F48" s="83">
        <v>63</v>
      </c>
      <c r="G48" s="84">
        <v>26.141078838174277</v>
      </c>
      <c r="I48" s="96"/>
      <c r="J48" s="155"/>
      <c r="L48" s="155"/>
    </row>
    <row r="49" spans="1:12" ht="15" customHeight="1" x14ac:dyDescent="0.35">
      <c r="A49" s="136"/>
      <c r="B49" s="153" t="s">
        <v>125</v>
      </c>
      <c r="C49" s="80">
        <v>95</v>
      </c>
      <c r="D49" s="81">
        <v>111</v>
      </c>
      <c r="E49" s="159"/>
      <c r="F49" s="98">
        <v>16</v>
      </c>
      <c r="G49" s="84">
        <v>16.842105263157894</v>
      </c>
      <c r="I49" s="96"/>
      <c r="J49" s="155"/>
      <c r="L49" s="155"/>
    </row>
    <row r="50" spans="1:12" ht="15" customHeight="1" x14ac:dyDescent="0.35">
      <c r="A50" s="136"/>
      <c r="B50" s="153" t="s">
        <v>126</v>
      </c>
      <c r="C50" s="80">
        <v>37</v>
      </c>
      <c r="D50" s="81">
        <v>52</v>
      </c>
      <c r="E50" s="159"/>
      <c r="F50" s="83">
        <v>15</v>
      </c>
      <c r="G50" s="84">
        <v>40.54054054054054</v>
      </c>
      <c r="H50" s="96"/>
      <c r="J50" s="155"/>
      <c r="L50" s="155"/>
    </row>
    <row r="51" spans="1:12" ht="8.25" customHeight="1" x14ac:dyDescent="0.35">
      <c r="A51" s="160"/>
      <c r="B51" s="161"/>
      <c r="C51" s="89"/>
      <c r="D51" s="162"/>
      <c r="E51" s="163"/>
      <c r="F51" s="92"/>
      <c r="G51" s="164"/>
    </row>
    <row r="52" spans="1:12" ht="23.25" customHeight="1" x14ac:dyDescent="0.3">
      <c r="A52" s="165">
        <v>7</v>
      </c>
      <c r="B52" s="137" t="s">
        <v>127</v>
      </c>
      <c r="C52" s="166">
        <v>2507349</v>
      </c>
      <c r="D52" s="167">
        <v>2642274</v>
      </c>
      <c r="E52" s="168"/>
      <c r="F52" s="169">
        <v>134925</v>
      </c>
      <c r="G52" s="170">
        <v>5.381181478924554</v>
      </c>
      <c r="H52" s="171"/>
      <c r="I52" s="96"/>
      <c r="J52" s="96"/>
      <c r="K52" s="96"/>
    </row>
    <row r="53" spans="1:12" ht="15" customHeight="1" x14ac:dyDescent="0.35">
      <c r="A53" s="165"/>
      <c r="B53" s="172" t="s">
        <v>128</v>
      </c>
      <c r="C53" s="106">
        <v>122596</v>
      </c>
      <c r="D53" s="81">
        <v>130745</v>
      </c>
      <c r="E53" s="173"/>
      <c r="F53" s="174">
        <v>8149</v>
      </c>
      <c r="G53" s="175">
        <v>6.6470357923586407</v>
      </c>
      <c r="H53" s="96"/>
      <c r="I53" s="176"/>
      <c r="J53" s="96"/>
      <c r="K53" s="96"/>
    </row>
    <row r="54" spans="1:12" ht="15" customHeight="1" x14ac:dyDescent="0.35">
      <c r="A54" s="165"/>
      <c r="B54" s="172" t="s">
        <v>129</v>
      </c>
      <c r="C54" s="106">
        <v>235607</v>
      </c>
      <c r="D54" s="81">
        <v>247199</v>
      </c>
      <c r="E54" s="173"/>
      <c r="F54" s="174">
        <v>11592</v>
      </c>
      <c r="G54" s="175">
        <v>4.9200575534682756</v>
      </c>
      <c r="I54" s="176"/>
      <c r="J54" s="96"/>
      <c r="K54" s="96"/>
    </row>
    <row r="55" spans="1:12" ht="15" customHeight="1" x14ac:dyDescent="0.35">
      <c r="A55" s="165"/>
      <c r="B55" s="172" t="s">
        <v>130</v>
      </c>
      <c r="C55" s="106">
        <v>198665</v>
      </c>
      <c r="D55" s="81">
        <v>209837</v>
      </c>
      <c r="E55" s="173"/>
      <c r="F55" s="174">
        <v>11172</v>
      </c>
      <c r="G55" s="175">
        <v>5.6235371102106555</v>
      </c>
      <c r="H55" s="96"/>
      <c r="I55" s="176"/>
      <c r="J55" s="96"/>
      <c r="K55" s="96"/>
    </row>
    <row r="56" spans="1:12" ht="15" customHeight="1" x14ac:dyDescent="0.35">
      <c r="A56" s="165"/>
      <c r="B56" s="172" t="s">
        <v>131</v>
      </c>
      <c r="C56" s="106">
        <v>52255</v>
      </c>
      <c r="D56" s="81">
        <v>56452</v>
      </c>
      <c r="E56" s="173"/>
      <c r="F56" s="174">
        <v>4197</v>
      </c>
      <c r="G56" s="175">
        <v>8.031767294995694</v>
      </c>
      <c r="H56" s="96"/>
      <c r="I56" s="176"/>
      <c r="J56" s="96"/>
      <c r="K56" s="96"/>
    </row>
    <row r="57" spans="1:12" ht="15" customHeight="1" x14ac:dyDescent="0.35">
      <c r="A57" s="165"/>
      <c r="B57" s="172" t="s">
        <v>132</v>
      </c>
      <c r="C57" s="106">
        <v>341712</v>
      </c>
      <c r="D57" s="81">
        <v>361484</v>
      </c>
      <c r="E57" s="173"/>
      <c r="F57" s="174">
        <v>19772</v>
      </c>
      <c r="G57" s="175">
        <v>5.7861591047431755</v>
      </c>
      <c r="I57" s="176"/>
      <c r="J57" s="96"/>
      <c r="K57" s="96"/>
    </row>
    <row r="58" spans="1:12" ht="15" customHeight="1" x14ac:dyDescent="0.35">
      <c r="A58" s="165"/>
      <c r="B58" s="172" t="s">
        <v>133</v>
      </c>
      <c r="C58" s="106">
        <v>900636</v>
      </c>
      <c r="D58" s="81">
        <v>927802</v>
      </c>
      <c r="E58" s="173"/>
      <c r="F58" s="174">
        <v>27166</v>
      </c>
      <c r="G58" s="175">
        <v>3.0163129166500116</v>
      </c>
      <c r="I58" s="176"/>
      <c r="J58" s="96"/>
      <c r="K58" s="96"/>
    </row>
    <row r="59" spans="1:12" ht="15" customHeight="1" x14ac:dyDescent="0.35">
      <c r="A59" s="165"/>
      <c r="B59" s="172" t="s">
        <v>134</v>
      </c>
      <c r="C59" s="106">
        <v>94280</v>
      </c>
      <c r="D59" s="81">
        <v>100543</v>
      </c>
      <c r="E59" s="173"/>
      <c r="F59" s="174">
        <v>6263</v>
      </c>
      <c r="G59" s="175">
        <v>6.642978362324989</v>
      </c>
      <c r="I59" s="176"/>
      <c r="J59" s="96"/>
      <c r="K59" s="96"/>
    </row>
    <row r="60" spans="1:12" ht="15" customHeight="1" x14ac:dyDescent="0.35">
      <c r="A60" s="165"/>
      <c r="B60" s="172" t="s">
        <v>135</v>
      </c>
      <c r="C60" s="106">
        <v>129750</v>
      </c>
      <c r="D60" s="81">
        <v>137836</v>
      </c>
      <c r="E60" s="173"/>
      <c r="F60" s="174">
        <v>8086</v>
      </c>
      <c r="G60" s="175">
        <v>6.2319845857418112</v>
      </c>
      <c r="I60" s="176"/>
      <c r="J60" s="96"/>
      <c r="K60" s="96"/>
    </row>
    <row r="61" spans="1:12" ht="15" customHeight="1" x14ac:dyDescent="0.35">
      <c r="A61" s="165"/>
      <c r="B61" s="172" t="s">
        <v>136</v>
      </c>
      <c r="C61" s="106">
        <v>43537</v>
      </c>
      <c r="D61" s="81">
        <v>47055</v>
      </c>
      <c r="E61" s="173"/>
      <c r="F61" s="174">
        <v>3518</v>
      </c>
      <c r="G61" s="175">
        <v>8.0804832671061391</v>
      </c>
      <c r="I61" s="176"/>
      <c r="J61" s="96"/>
      <c r="K61" s="96"/>
    </row>
    <row r="62" spans="1:12" ht="15" customHeight="1" x14ac:dyDescent="0.35">
      <c r="A62" s="165"/>
      <c r="B62" s="172" t="s">
        <v>137</v>
      </c>
      <c r="C62" s="106">
        <v>51794</v>
      </c>
      <c r="D62" s="81">
        <v>55770</v>
      </c>
      <c r="E62" s="173"/>
      <c r="F62" s="174">
        <v>3976</v>
      </c>
      <c r="G62" s="175">
        <v>7.6765648530717847</v>
      </c>
      <c r="I62" s="176"/>
      <c r="J62" s="96"/>
      <c r="K62" s="96"/>
    </row>
    <row r="63" spans="1:12" ht="15" customHeight="1" x14ac:dyDescent="0.35">
      <c r="A63" s="165"/>
      <c r="B63" s="172" t="s">
        <v>138</v>
      </c>
      <c r="C63" s="106">
        <v>111172</v>
      </c>
      <c r="D63" s="81">
        <v>120777</v>
      </c>
      <c r="E63" s="173"/>
      <c r="F63" s="174">
        <v>9605</v>
      </c>
      <c r="G63" s="175">
        <v>8.6397654085561122</v>
      </c>
      <c r="I63" s="176"/>
      <c r="J63" s="96"/>
      <c r="K63" s="96"/>
    </row>
    <row r="64" spans="1:12" ht="18.75" customHeight="1" x14ac:dyDescent="0.35">
      <c r="A64" s="165"/>
      <c r="B64" s="172" t="s">
        <v>139</v>
      </c>
      <c r="C64" s="106">
        <v>146760</v>
      </c>
      <c r="D64" s="81">
        <v>159145</v>
      </c>
      <c r="E64" s="173"/>
      <c r="F64" s="174">
        <v>12385</v>
      </c>
      <c r="G64" s="175">
        <v>8.4389479422185882</v>
      </c>
      <c r="H64" s="96"/>
      <c r="I64" s="176"/>
      <c r="J64" s="96"/>
      <c r="K64" s="96"/>
    </row>
    <row r="65" spans="1:12" ht="15" customHeight="1" x14ac:dyDescent="0.35">
      <c r="A65" s="165"/>
      <c r="B65" s="172" t="s">
        <v>140</v>
      </c>
      <c r="C65" s="106">
        <v>30959</v>
      </c>
      <c r="D65" s="81">
        <v>35744</v>
      </c>
      <c r="E65" s="173"/>
      <c r="F65" s="174">
        <v>4785</v>
      </c>
      <c r="G65" s="175">
        <v>15.45592557899157</v>
      </c>
      <c r="I65" s="176"/>
      <c r="J65" s="96"/>
      <c r="K65" s="96"/>
    </row>
    <row r="66" spans="1:12" ht="15" customHeight="1" x14ac:dyDescent="0.35">
      <c r="A66" s="165"/>
      <c r="B66" s="172" t="s">
        <v>141</v>
      </c>
      <c r="C66" s="106">
        <v>47626</v>
      </c>
      <c r="D66" s="81">
        <v>51885</v>
      </c>
      <c r="E66" s="173"/>
      <c r="F66" s="174">
        <v>4259</v>
      </c>
      <c r="G66" s="175">
        <v>8.9425943812203421</v>
      </c>
      <c r="H66" s="177"/>
      <c r="I66" s="176"/>
      <c r="J66" s="96"/>
      <c r="K66" s="96"/>
    </row>
    <row r="67" spans="1:12" ht="8.25" customHeight="1" x14ac:dyDescent="0.35">
      <c r="A67" s="178"/>
      <c r="B67" s="161"/>
      <c r="C67" s="89"/>
      <c r="D67" s="90"/>
      <c r="E67" s="163"/>
      <c r="F67" s="179"/>
      <c r="G67" s="180"/>
      <c r="H67" s="177"/>
    </row>
    <row r="68" spans="1:12" ht="15.5" x14ac:dyDescent="0.35">
      <c r="A68" s="86">
        <v>8</v>
      </c>
      <c r="B68" s="137" t="s">
        <v>142</v>
      </c>
      <c r="C68" s="103">
        <v>503072</v>
      </c>
      <c r="D68" s="74">
        <v>503556</v>
      </c>
      <c r="E68" s="181"/>
      <c r="F68" s="105">
        <v>484</v>
      </c>
      <c r="G68" s="182">
        <v>9.6208892564086254E-2</v>
      </c>
      <c r="H68" s="183"/>
      <c r="I68" s="96"/>
      <c r="L68" s="96"/>
    </row>
    <row r="69" spans="1:12" ht="15.5" x14ac:dyDescent="0.35">
      <c r="A69" s="86"/>
      <c r="B69" s="122" t="s">
        <v>143</v>
      </c>
      <c r="C69" s="106">
        <v>404</v>
      </c>
      <c r="D69" s="81">
        <v>484</v>
      </c>
      <c r="E69" s="184"/>
      <c r="F69" s="107">
        <v>80</v>
      </c>
      <c r="G69" s="185">
        <v>19.801980198019802</v>
      </c>
    </row>
    <row r="70" spans="1:12" ht="15.5" x14ac:dyDescent="0.35">
      <c r="A70" s="99"/>
      <c r="B70" s="186" t="s">
        <v>144</v>
      </c>
      <c r="C70" s="187">
        <v>20.063900159092331</v>
      </c>
      <c r="D70" s="132">
        <v>19.057675320576138</v>
      </c>
      <c r="E70" s="188"/>
      <c r="F70" s="189">
        <v>-1.0062248385161929</v>
      </c>
      <c r="G70" s="190"/>
    </row>
    <row r="71" spans="1:12" ht="12" customHeight="1" x14ac:dyDescent="0.35">
      <c r="A71" s="820">
        <v>9</v>
      </c>
      <c r="B71" s="810" t="s">
        <v>145</v>
      </c>
      <c r="C71" s="191"/>
      <c r="D71" s="192"/>
      <c r="E71" s="193"/>
      <c r="F71" s="194"/>
      <c r="G71" s="195"/>
    </row>
    <row r="72" spans="1:12" ht="16.5" customHeight="1" x14ac:dyDescent="0.35">
      <c r="A72" s="821"/>
      <c r="B72" s="813"/>
      <c r="C72" s="196"/>
      <c r="D72" s="197"/>
      <c r="E72" s="198"/>
      <c r="F72" s="199"/>
      <c r="G72" s="127"/>
    </row>
    <row r="73" spans="1:12" ht="18.75" customHeight="1" x14ac:dyDescent="0.35">
      <c r="A73" s="821"/>
      <c r="B73" s="200" t="s">
        <v>146</v>
      </c>
      <c r="C73" s="175">
        <v>26.189652896345901</v>
      </c>
      <c r="D73" s="201">
        <v>24.98291244587049</v>
      </c>
      <c r="E73" s="202"/>
      <c r="F73" s="203">
        <v>-1.2067404504754116</v>
      </c>
      <c r="G73" s="204"/>
      <c r="I73" s="205"/>
      <c r="J73" s="205"/>
      <c r="K73" s="206"/>
    </row>
    <row r="74" spans="1:12" ht="15" customHeight="1" x14ac:dyDescent="0.35">
      <c r="A74" s="822"/>
      <c r="B74" s="130" t="s">
        <v>147</v>
      </c>
      <c r="C74" s="207">
        <v>24.100010496360404</v>
      </c>
      <c r="D74" s="208">
        <v>23.616463624928269</v>
      </c>
      <c r="E74" s="209"/>
      <c r="F74" s="210">
        <v>-0.48354687143213582</v>
      </c>
      <c r="G74" s="135"/>
    </row>
    <row r="75" spans="1:12" ht="30.75" customHeight="1" x14ac:dyDescent="0.3">
      <c r="A75" s="136">
        <v>10</v>
      </c>
      <c r="B75" s="211" t="s">
        <v>148</v>
      </c>
      <c r="C75" s="117">
        <v>6072.3996315571421</v>
      </c>
      <c r="D75" s="212">
        <v>6727.0712065271437</v>
      </c>
      <c r="E75" s="213"/>
      <c r="F75" s="214">
        <v>654.67157497000153</v>
      </c>
      <c r="G75" s="215">
        <v>10.781101618671372</v>
      </c>
      <c r="I75" s="205"/>
      <c r="J75" s="205"/>
      <c r="L75" s="206">
        <v>0</v>
      </c>
    </row>
    <row r="76" spans="1:12" ht="24" customHeight="1" x14ac:dyDescent="0.3">
      <c r="A76" s="160"/>
      <c r="B76" s="216" t="s">
        <v>149</v>
      </c>
      <c r="C76" s="131">
        <v>615.26752540000234</v>
      </c>
      <c r="D76" s="217">
        <v>654.67157497000153</v>
      </c>
      <c r="E76" s="218"/>
      <c r="F76" s="219">
        <v>39.404049569999188</v>
      </c>
      <c r="G76" s="220">
        <v>6.4043766237103981</v>
      </c>
    </row>
    <row r="77" spans="1:12" ht="31.5" customHeight="1" x14ac:dyDescent="0.3">
      <c r="A77" s="136">
        <v>11</v>
      </c>
      <c r="B77" s="211" t="s">
        <v>150</v>
      </c>
      <c r="C77" s="117">
        <v>7397.5854359200002</v>
      </c>
      <c r="D77" s="212">
        <v>8053.7461081199999</v>
      </c>
      <c r="E77" s="213"/>
      <c r="F77" s="214">
        <v>656.16067219999968</v>
      </c>
      <c r="G77" s="215">
        <v>8.8699303020404567</v>
      </c>
      <c r="H77" s="221"/>
    </row>
    <row r="78" spans="1:12" ht="15" customHeight="1" x14ac:dyDescent="0.3">
      <c r="A78" s="222"/>
      <c r="B78" s="223"/>
      <c r="C78" s="224"/>
      <c r="D78" s="225"/>
      <c r="E78" s="226"/>
      <c r="F78" s="227"/>
      <c r="G78" s="228"/>
      <c r="H78" s="229"/>
    </row>
    <row r="79" spans="1:12" ht="15" customHeight="1" x14ac:dyDescent="0.3">
      <c r="A79" s="222"/>
      <c r="B79" s="122" t="s">
        <v>151</v>
      </c>
      <c r="C79" s="123">
        <v>2950.3612923131163</v>
      </c>
      <c r="D79" s="230">
        <v>3048.0359372722132</v>
      </c>
      <c r="E79" s="231"/>
      <c r="F79" s="232">
        <v>97.674644959096895</v>
      </c>
      <c r="G79" s="233">
        <v>3.3105994582283471</v>
      </c>
    </row>
    <row r="80" spans="1:12" ht="15" customHeight="1" x14ac:dyDescent="0.3">
      <c r="A80" s="222"/>
      <c r="B80" s="122"/>
      <c r="C80" s="224"/>
      <c r="D80" s="225"/>
      <c r="E80" s="226"/>
      <c r="F80" s="234"/>
      <c r="G80" s="235"/>
    </row>
    <row r="81" spans="1:9" ht="15" customHeight="1" x14ac:dyDescent="0.3">
      <c r="A81" s="236"/>
      <c r="B81" s="122" t="s">
        <v>152</v>
      </c>
      <c r="C81" s="131">
        <v>1183.7534473542637</v>
      </c>
      <c r="D81" s="217">
        <v>1280.3192963458719</v>
      </c>
      <c r="E81" s="218"/>
      <c r="F81" s="219">
        <v>96.565848991608163</v>
      </c>
      <c r="G81" s="220">
        <v>8.1575981220951626</v>
      </c>
    </row>
    <row r="82" spans="1:9" ht="15" customHeight="1" x14ac:dyDescent="0.3">
      <c r="A82" s="806">
        <v>12</v>
      </c>
      <c r="B82" s="839" t="s">
        <v>153</v>
      </c>
      <c r="C82" s="117">
        <v>31.099540232061479</v>
      </c>
      <c r="D82" s="212">
        <v>33.198866026027346</v>
      </c>
      <c r="E82" s="237"/>
      <c r="F82" s="238">
        <v>2.0993257939658676</v>
      </c>
      <c r="G82" s="239"/>
    </row>
    <row r="83" spans="1:9" ht="18.75" customHeight="1" x14ac:dyDescent="0.35">
      <c r="A83" s="809"/>
      <c r="B83" s="840"/>
      <c r="C83" s="240"/>
      <c r="D83" s="241"/>
      <c r="E83" s="242"/>
      <c r="F83" s="243"/>
      <c r="G83" s="135"/>
    </row>
    <row r="84" spans="1:9" ht="23.25" customHeight="1" x14ac:dyDescent="0.3">
      <c r="A84" s="86">
        <v>13</v>
      </c>
      <c r="B84" s="244" t="s">
        <v>154</v>
      </c>
      <c r="C84" s="245">
        <v>7321.1034471033827</v>
      </c>
      <c r="D84" s="246">
        <v>7992.9813922717349</v>
      </c>
      <c r="E84" s="247"/>
      <c r="F84" s="248">
        <v>671.8779451683522</v>
      </c>
      <c r="G84" s="215">
        <v>9.1772770323875541</v>
      </c>
    </row>
    <row r="85" spans="1:9" ht="24" customHeight="1" x14ac:dyDescent="0.35">
      <c r="A85" s="222"/>
      <c r="B85" s="249" t="s">
        <v>155</v>
      </c>
      <c r="C85" s="196"/>
      <c r="D85" s="197"/>
      <c r="E85" s="198"/>
      <c r="F85" s="199"/>
      <c r="G85" s="250"/>
    </row>
    <row r="86" spans="1:9" ht="15" customHeight="1" x14ac:dyDescent="0.35">
      <c r="A86" s="222"/>
      <c r="B86" s="251" t="s">
        <v>156</v>
      </c>
      <c r="C86" s="175">
        <v>6009.2032453283564</v>
      </c>
      <c r="D86" s="252">
        <v>6391.3042669963943</v>
      </c>
      <c r="E86" s="253"/>
      <c r="F86" s="203">
        <v>382.1010216680379</v>
      </c>
      <c r="G86" s="84">
        <v>6.3585970729994683</v>
      </c>
      <c r="I86" s="254"/>
    </row>
    <row r="87" spans="1:9" ht="15" customHeight="1" x14ac:dyDescent="0.35">
      <c r="A87" s="222"/>
      <c r="B87" s="251" t="s">
        <v>157</v>
      </c>
      <c r="C87" s="175">
        <v>82.080567345430921</v>
      </c>
      <c r="D87" s="252">
        <v>79.961455598733494</v>
      </c>
      <c r="E87" s="255"/>
      <c r="F87" s="203">
        <v>-2.1191117466974276</v>
      </c>
      <c r="G87" s="256"/>
      <c r="H87" s="205"/>
    </row>
    <row r="88" spans="1:9" ht="15" customHeight="1" x14ac:dyDescent="0.35">
      <c r="A88" s="222"/>
      <c r="B88" s="251" t="s">
        <v>158</v>
      </c>
      <c r="C88" s="175">
        <v>433.2923227018</v>
      </c>
      <c r="D88" s="252">
        <v>450.42294426663</v>
      </c>
      <c r="E88" s="255"/>
      <c r="F88" s="203">
        <v>17.130621564829994</v>
      </c>
      <c r="G88" s="84">
        <v>3.9535945289802914</v>
      </c>
    </row>
    <row r="89" spans="1:9" ht="15" customHeight="1" x14ac:dyDescent="0.35">
      <c r="A89" s="222"/>
      <c r="B89" s="251" t="s">
        <v>157</v>
      </c>
      <c r="C89" s="175">
        <v>5.9184018615832219</v>
      </c>
      <c r="D89" s="252">
        <v>5.6352307375835453</v>
      </c>
      <c r="E89" s="255"/>
      <c r="F89" s="203">
        <v>-0.28317112399967659</v>
      </c>
      <c r="G89" s="84"/>
    </row>
    <row r="90" spans="1:9" ht="15" customHeight="1" x14ac:dyDescent="0.35">
      <c r="A90" s="222"/>
      <c r="B90" s="251" t="s">
        <v>159</v>
      </c>
      <c r="C90" s="175">
        <v>53.435462664999996</v>
      </c>
      <c r="D90" s="252">
        <v>58.404786553749993</v>
      </c>
      <c r="E90" s="255"/>
      <c r="F90" s="203">
        <v>4.9693238887499973</v>
      </c>
      <c r="G90" s="84">
        <v>9.2996741132455547</v>
      </c>
    </row>
    <row r="91" spans="1:9" ht="15" customHeight="1" x14ac:dyDescent="0.35">
      <c r="A91" s="222"/>
      <c r="B91" s="251" t="s">
        <v>157</v>
      </c>
      <c r="C91" s="175">
        <v>0.72988263382812746</v>
      </c>
      <c r="D91" s="252">
        <v>0.73070089479027811</v>
      </c>
      <c r="E91" s="202"/>
      <c r="F91" s="203">
        <v>8.1826096215065203E-4</v>
      </c>
      <c r="G91" s="84"/>
      <c r="H91" s="205"/>
    </row>
    <row r="92" spans="1:9" ht="15" customHeight="1" x14ac:dyDescent="0.35">
      <c r="A92" s="222"/>
      <c r="B92" s="257" t="s">
        <v>160</v>
      </c>
      <c r="C92" s="175">
        <v>41.498426600000002</v>
      </c>
      <c r="D92" s="252">
        <v>41.8163962</v>
      </c>
      <c r="E92" s="255"/>
      <c r="F92" s="203">
        <v>0.31796959999999785</v>
      </c>
      <c r="G92" s="84">
        <v>0.7662208571541308</v>
      </c>
      <c r="H92" s="205"/>
    </row>
    <row r="93" spans="1:9" ht="15" customHeight="1" x14ac:dyDescent="0.35">
      <c r="A93" s="222"/>
      <c r="B93" s="251" t="s">
        <v>157</v>
      </c>
      <c r="C93" s="258">
        <v>0.5668329494294877</v>
      </c>
      <c r="D93" s="259">
        <v>0.52316393780713033</v>
      </c>
      <c r="E93" s="255"/>
      <c r="F93" s="260">
        <v>-4.3669011622357368E-2</v>
      </c>
      <c r="G93" s="261"/>
      <c r="H93" s="205"/>
    </row>
    <row r="94" spans="1:9" ht="15" customHeight="1" x14ac:dyDescent="0.35">
      <c r="A94" s="222"/>
      <c r="B94" s="251" t="s">
        <v>161</v>
      </c>
      <c r="C94" s="143">
        <v>602.79105773933998</v>
      </c>
      <c r="D94" s="252">
        <v>644.05052913886016</v>
      </c>
      <c r="E94" s="262"/>
      <c r="F94" s="263">
        <v>41.25947139952018</v>
      </c>
      <c r="G94" s="84">
        <v>6.8447384661372457</v>
      </c>
      <c r="H94" s="205"/>
    </row>
    <row r="95" spans="1:9" ht="15" customHeight="1" x14ac:dyDescent="0.35">
      <c r="A95" s="222"/>
      <c r="B95" s="251" t="s">
        <v>157</v>
      </c>
      <c r="C95" s="143">
        <v>8.2336093472062064</v>
      </c>
      <c r="D95" s="252">
        <v>8.0577008444130822</v>
      </c>
      <c r="E95" s="262"/>
      <c r="F95" s="263">
        <v>-0.1759085027931242</v>
      </c>
      <c r="G95" s="261"/>
      <c r="H95" s="205"/>
    </row>
    <row r="96" spans="1:9" ht="15" customHeight="1" x14ac:dyDescent="0.35">
      <c r="A96" s="222"/>
      <c r="B96" s="251" t="s">
        <v>162</v>
      </c>
      <c r="C96" s="175">
        <v>180.88293206888642</v>
      </c>
      <c r="D96" s="252">
        <v>406.98246911610079</v>
      </c>
      <c r="E96" s="255"/>
      <c r="F96" s="203">
        <v>226.09953704721437</v>
      </c>
      <c r="G96" s="261"/>
      <c r="H96" s="205"/>
    </row>
    <row r="97" spans="1:8" ht="15" customHeight="1" x14ac:dyDescent="0.35">
      <c r="A97" s="222"/>
      <c r="B97" s="251" t="s">
        <v>157</v>
      </c>
      <c r="C97" s="143">
        <v>2.4707058625220397</v>
      </c>
      <c r="D97" s="252">
        <v>5.0917479866724644</v>
      </c>
      <c r="E97" s="262"/>
      <c r="F97" s="263">
        <v>2.6210421241504247</v>
      </c>
      <c r="G97" s="250"/>
      <c r="H97" s="205"/>
    </row>
    <row r="98" spans="1:8" ht="15" customHeight="1" x14ac:dyDescent="0.35">
      <c r="A98" s="222"/>
      <c r="B98" s="249" t="s">
        <v>163</v>
      </c>
      <c r="C98" s="143" t="s">
        <v>65</v>
      </c>
      <c r="D98" s="264" t="s">
        <v>65</v>
      </c>
      <c r="E98" s="156"/>
      <c r="F98" s="265"/>
      <c r="G98" s="250"/>
    </row>
    <row r="99" spans="1:8" ht="15" customHeight="1" x14ac:dyDescent="0.35">
      <c r="A99" s="222"/>
      <c r="B99" s="249"/>
      <c r="C99" s="266"/>
      <c r="D99" s="264"/>
      <c r="E99" s="156"/>
      <c r="F99" s="265"/>
      <c r="G99" s="250"/>
    </row>
    <row r="100" spans="1:8" ht="15" customHeight="1" x14ac:dyDescent="0.35">
      <c r="A100" s="222"/>
      <c r="B100" s="251" t="s">
        <v>164</v>
      </c>
      <c r="C100" s="175">
        <v>7321.1034471033827</v>
      </c>
      <c r="D100" s="252">
        <v>7992.981392271734</v>
      </c>
      <c r="E100" s="253"/>
      <c r="F100" s="203">
        <v>671.87794516835129</v>
      </c>
      <c r="G100" s="84">
        <v>9.1772770323875417</v>
      </c>
    </row>
    <row r="101" spans="1:8" ht="15" customHeight="1" x14ac:dyDescent="0.35">
      <c r="A101" s="222"/>
      <c r="B101" s="251" t="s">
        <v>157</v>
      </c>
      <c r="C101" s="175">
        <v>100</v>
      </c>
      <c r="D101" s="252">
        <v>99.999999999999986</v>
      </c>
      <c r="E101" s="253"/>
      <c r="F101" s="203">
        <v>0</v>
      </c>
      <c r="G101" s="267"/>
    </row>
    <row r="102" spans="1:8" ht="15" customHeight="1" x14ac:dyDescent="0.35">
      <c r="A102" s="222"/>
      <c r="B102" s="251" t="s">
        <v>165</v>
      </c>
      <c r="C102" s="175">
        <v>0</v>
      </c>
      <c r="D102" s="252">
        <v>0</v>
      </c>
      <c r="E102" s="253"/>
      <c r="F102" s="203">
        <v>0</v>
      </c>
      <c r="G102" s="268"/>
    </row>
    <row r="103" spans="1:8" ht="15" customHeight="1" x14ac:dyDescent="0.35">
      <c r="A103" s="269"/>
      <c r="B103" s="251" t="s">
        <v>157</v>
      </c>
      <c r="C103" s="175">
        <v>0</v>
      </c>
      <c r="D103" s="252">
        <v>0</v>
      </c>
      <c r="E103" s="253"/>
      <c r="F103" s="203">
        <v>0</v>
      </c>
      <c r="G103" s="84"/>
    </row>
    <row r="104" spans="1:8" ht="11.25" customHeight="1" x14ac:dyDescent="0.35">
      <c r="A104" s="270"/>
      <c r="B104" s="271"/>
      <c r="C104" s="180"/>
      <c r="D104" s="272"/>
      <c r="E104" s="273"/>
      <c r="F104" s="210"/>
      <c r="G104" s="93"/>
    </row>
    <row r="105" spans="1:8" ht="18" customHeight="1" x14ac:dyDescent="0.3">
      <c r="A105" s="274">
        <v>14</v>
      </c>
      <c r="B105" s="275" t="s">
        <v>166</v>
      </c>
      <c r="C105" s="276">
        <v>1.0985</v>
      </c>
      <c r="D105" s="277">
        <v>1.1321000000000003</v>
      </c>
      <c r="E105" s="278"/>
      <c r="F105" s="279">
        <v>3.3600000000000296E-2</v>
      </c>
      <c r="G105" s="280"/>
    </row>
    <row r="106" spans="1:8" ht="17.25" customHeight="1" x14ac:dyDescent="0.3">
      <c r="A106" s="160">
        <v>15</v>
      </c>
      <c r="B106" s="244" t="s">
        <v>167</v>
      </c>
      <c r="C106" s="281">
        <v>31.421284075868016</v>
      </c>
      <c r="D106" s="282">
        <v>32.658877393108426</v>
      </c>
      <c r="E106" s="283"/>
      <c r="F106" s="284">
        <v>1.2375933172404103</v>
      </c>
      <c r="G106" s="215">
        <v>3.9387101884575726</v>
      </c>
    </row>
    <row r="107" spans="1:8" ht="15" customHeight="1" x14ac:dyDescent="0.35">
      <c r="A107" s="806">
        <v>16</v>
      </c>
      <c r="B107" s="810" t="s">
        <v>168</v>
      </c>
      <c r="C107" s="191"/>
      <c r="D107" s="192"/>
      <c r="E107" s="193"/>
      <c r="F107" s="194"/>
      <c r="G107" s="195"/>
    </row>
    <row r="108" spans="1:8" ht="5.25" customHeight="1" x14ac:dyDescent="0.35">
      <c r="A108" s="812"/>
      <c r="B108" s="813"/>
      <c r="C108" s="196"/>
      <c r="D108" s="197"/>
      <c r="E108" s="198"/>
      <c r="F108" s="199"/>
      <c r="G108" s="127"/>
    </row>
    <row r="109" spans="1:8" ht="5.25" customHeight="1" x14ac:dyDescent="0.35">
      <c r="A109" s="812"/>
      <c r="B109" s="285"/>
      <c r="C109" s="143"/>
      <c r="D109" s="197"/>
      <c r="E109" s="198"/>
      <c r="F109" s="199"/>
      <c r="G109" s="127"/>
    </row>
    <row r="110" spans="1:8" ht="20.25" customHeight="1" x14ac:dyDescent="0.35">
      <c r="A110" s="812"/>
      <c r="B110" s="257" t="s">
        <v>169</v>
      </c>
      <c r="C110" s="185">
        <v>2.3290508872749136</v>
      </c>
      <c r="D110" s="286">
        <v>3.9306265451437743</v>
      </c>
      <c r="E110" s="287"/>
      <c r="F110" s="234">
        <v>1.6015756578688607</v>
      </c>
      <c r="G110" s="127"/>
    </row>
    <row r="111" spans="1:8" ht="30" customHeight="1" x14ac:dyDescent="0.35">
      <c r="A111" s="809"/>
      <c r="B111" s="288" t="s">
        <v>170</v>
      </c>
      <c r="C111" s="187">
        <v>1.5269876845668273</v>
      </c>
      <c r="D111" s="289">
        <v>3.444437688010149</v>
      </c>
      <c r="E111" s="290"/>
      <c r="F111" s="189">
        <v>1.9174500034433217</v>
      </c>
      <c r="G111" s="93"/>
    </row>
    <row r="112" spans="1:8" ht="36" customHeight="1" x14ac:dyDescent="0.3">
      <c r="A112" s="136">
        <v>17</v>
      </c>
      <c r="B112" s="211" t="s">
        <v>171</v>
      </c>
      <c r="C112" s="245">
        <v>20.123951049999999</v>
      </c>
      <c r="D112" s="246">
        <v>24.24509011</v>
      </c>
      <c r="E112" s="291"/>
      <c r="F112" s="248">
        <v>4.1211390600000009</v>
      </c>
      <c r="G112" s="215">
        <v>20.47877700437957</v>
      </c>
    </row>
    <row r="113" spans="1:7" ht="15" customHeight="1" x14ac:dyDescent="0.35">
      <c r="A113" s="222"/>
      <c r="B113" s="153" t="s">
        <v>172</v>
      </c>
      <c r="C113" s="185">
        <v>9.1716075399999983</v>
      </c>
      <c r="D113" s="286">
        <v>13.292746600000001</v>
      </c>
      <c r="E113" s="292"/>
      <c r="F113" s="234">
        <v>4.1211390600000026</v>
      </c>
      <c r="G113" s="84">
        <v>44.933661215076413</v>
      </c>
    </row>
    <row r="114" spans="1:7" ht="24.75" customHeight="1" x14ac:dyDescent="0.3">
      <c r="A114" s="236"/>
      <c r="B114" s="293" t="s">
        <v>173</v>
      </c>
      <c r="C114" s="187">
        <v>10.95234351</v>
      </c>
      <c r="D114" s="289">
        <v>10.95234351</v>
      </c>
      <c r="E114" s="294"/>
      <c r="F114" s="295">
        <v>0</v>
      </c>
      <c r="G114" s="220">
        <v>0</v>
      </c>
    </row>
    <row r="115" spans="1:7" ht="15" customHeight="1" x14ac:dyDescent="0.3">
      <c r="A115" s="136">
        <v>18</v>
      </c>
      <c r="B115" s="151" t="s">
        <v>174</v>
      </c>
      <c r="C115" s="296">
        <v>148181</v>
      </c>
      <c r="D115" s="297">
        <v>159836</v>
      </c>
      <c r="E115" s="298"/>
      <c r="F115" s="169">
        <v>11655</v>
      </c>
      <c r="G115" s="215">
        <v>7.8653808517961137</v>
      </c>
    </row>
    <row r="116" spans="1:7" ht="15" customHeight="1" x14ac:dyDescent="0.3">
      <c r="A116" s="136"/>
      <c r="B116" s="299" t="s">
        <v>175</v>
      </c>
      <c r="C116" s="166">
        <v>90669</v>
      </c>
      <c r="D116" s="167">
        <v>100692</v>
      </c>
      <c r="E116" s="300"/>
      <c r="F116" s="167">
        <v>10023</v>
      </c>
      <c r="G116" s="215">
        <v>11.05449492108659</v>
      </c>
    </row>
    <row r="117" spans="1:7" ht="15" customHeight="1" x14ac:dyDescent="0.3">
      <c r="A117" s="136"/>
      <c r="B117" s="142" t="s">
        <v>176</v>
      </c>
      <c r="C117" s="166">
        <v>70625</v>
      </c>
      <c r="D117" s="167">
        <v>69009</v>
      </c>
      <c r="E117" s="300"/>
      <c r="F117" s="301">
        <v>-1616</v>
      </c>
      <c r="G117" s="215">
        <v>-2.2881415929203541</v>
      </c>
    </row>
    <row r="118" spans="1:7" ht="15" customHeight="1" x14ac:dyDescent="0.3">
      <c r="A118" s="136"/>
      <c r="B118" s="79" t="s">
        <v>105</v>
      </c>
      <c r="C118" s="302">
        <v>37773</v>
      </c>
      <c r="D118" s="303">
        <v>36876</v>
      </c>
      <c r="E118" s="304"/>
      <c r="F118" s="107">
        <v>-897</v>
      </c>
      <c r="G118" s="233">
        <v>-2.3747120959415455</v>
      </c>
    </row>
    <row r="119" spans="1:7" ht="15" customHeight="1" x14ac:dyDescent="0.3">
      <c r="A119" s="136"/>
      <c r="B119" s="79" t="s">
        <v>177</v>
      </c>
      <c r="C119" s="302">
        <v>32852</v>
      </c>
      <c r="D119" s="303">
        <v>32133</v>
      </c>
      <c r="E119" s="305"/>
      <c r="F119" s="107">
        <v>-719</v>
      </c>
      <c r="G119" s="233">
        <v>-2.1886034335809086</v>
      </c>
    </row>
    <row r="120" spans="1:7" ht="15" customHeight="1" x14ac:dyDescent="0.3">
      <c r="A120" s="136"/>
      <c r="B120" s="142" t="s">
        <v>178</v>
      </c>
      <c r="C120" s="166">
        <v>20044</v>
      </c>
      <c r="D120" s="167">
        <v>31683</v>
      </c>
      <c r="E120" s="306"/>
      <c r="F120" s="307">
        <v>11639</v>
      </c>
      <c r="G120" s="308">
        <v>58.067252045499899</v>
      </c>
    </row>
    <row r="121" spans="1:7" ht="15" customHeight="1" x14ac:dyDescent="0.3">
      <c r="A121" s="136"/>
      <c r="B121" s="309"/>
      <c r="C121" s="310"/>
      <c r="D121" s="311"/>
      <c r="E121" s="312"/>
      <c r="F121" s="313"/>
      <c r="G121" s="308"/>
    </row>
    <row r="122" spans="1:7" ht="15" customHeight="1" x14ac:dyDescent="0.3">
      <c r="A122" s="136"/>
      <c r="B122" s="299" t="s">
        <v>179</v>
      </c>
      <c r="C122" s="166">
        <v>2850</v>
      </c>
      <c r="D122" s="167">
        <v>2785</v>
      </c>
      <c r="E122" s="314"/>
      <c r="F122" s="301">
        <v>-65</v>
      </c>
      <c r="G122" s="215">
        <v>-2.2807017543859649</v>
      </c>
    </row>
    <row r="123" spans="1:7" ht="15" customHeight="1" x14ac:dyDescent="0.3">
      <c r="A123" s="136"/>
      <c r="B123" s="142" t="s">
        <v>176</v>
      </c>
      <c r="C123" s="166">
        <v>907</v>
      </c>
      <c r="D123" s="167">
        <v>836</v>
      </c>
      <c r="E123" s="314"/>
      <c r="F123" s="301">
        <v>-71</v>
      </c>
      <c r="G123" s="215">
        <v>-7.8280044101433299</v>
      </c>
    </row>
    <row r="124" spans="1:7" ht="15" customHeight="1" x14ac:dyDescent="0.3">
      <c r="A124" s="136"/>
      <c r="B124" s="79" t="s">
        <v>105</v>
      </c>
      <c r="C124" s="302">
        <v>591</v>
      </c>
      <c r="D124" s="303">
        <v>551</v>
      </c>
      <c r="E124" s="304"/>
      <c r="F124" s="107">
        <v>-40</v>
      </c>
      <c r="G124" s="233">
        <v>-6.7681895093062607</v>
      </c>
    </row>
    <row r="125" spans="1:7" ht="15" customHeight="1" x14ac:dyDescent="0.3">
      <c r="A125" s="136"/>
      <c r="B125" s="79" t="s">
        <v>177</v>
      </c>
      <c r="C125" s="302">
        <v>316</v>
      </c>
      <c r="D125" s="303">
        <v>285</v>
      </c>
      <c r="E125" s="304"/>
      <c r="F125" s="107">
        <v>-31</v>
      </c>
      <c r="G125" s="233">
        <v>-9.81012658227848</v>
      </c>
    </row>
    <row r="126" spans="1:7" ht="15" customHeight="1" x14ac:dyDescent="0.3">
      <c r="A126" s="222"/>
      <c r="B126" s="142" t="s">
        <v>180</v>
      </c>
      <c r="C126" s="166">
        <v>1943</v>
      </c>
      <c r="D126" s="167">
        <v>1949</v>
      </c>
      <c r="E126" s="315"/>
      <c r="F126" s="301">
        <v>6</v>
      </c>
      <c r="G126" s="215">
        <v>0.30880082346886262</v>
      </c>
    </row>
    <row r="127" spans="1:7" ht="15" customHeight="1" x14ac:dyDescent="0.3">
      <c r="A127" s="222"/>
      <c r="B127" s="309"/>
      <c r="C127" s="316"/>
      <c r="D127" s="317"/>
      <c r="E127" s="312"/>
      <c r="F127" s="313"/>
      <c r="G127" s="318"/>
    </row>
    <row r="128" spans="1:7" ht="15" customHeight="1" x14ac:dyDescent="0.3">
      <c r="A128" s="222"/>
      <c r="B128" s="299" t="s">
        <v>181</v>
      </c>
      <c r="C128" s="319">
        <v>54662</v>
      </c>
      <c r="D128" s="167">
        <v>56359</v>
      </c>
      <c r="E128" s="168"/>
      <c r="F128" s="169">
        <v>1697</v>
      </c>
      <c r="G128" s="215">
        <v>3.1045333138194726</v>
      </c>
    </row>
    <row r="129" spans="1:10" ht="15" customHeight="1" x14ac:dyDescent="0.3">
      <c r="A129" s="222"/>
      <c r="B129" s="320" t="s">
        <v>104</v>
      </c>
      <c r="C129" s="319">
        <v>28479</v>
      </c>
      <c r="D129" s="167">
        <v>28766</v>
      </c>
      <c r="E129" s="321"/>
      <c r="F129" s="322">
        <v>287</v>
      </c>
      <c r="G129" s="215">
        <v>1.0077601039362336</v>
      </c>
    </row>
    <row r="130" spans="1:10" ht="15" customHeight="1" x14ac:dyDescent="0.3">
      <c r="A130" s="222"/>
      <c r="B130" s="79" t="s">
        <v>105</v>
      </c>
      <c r="C130" s="302">
        <v>15271</v>
      </c>
      <c r="D130" s="303">
        <v>15364</v>
      </c>
      <c r="E130" s="323"/>
      <c r="F130" s="107">
        <v>93</v>
      </c>
      <c r="G130" s="233">
        <v>0.60899744613974205</v>
      </c>
    </row>
    <row r="131" spans="1:10" ht="15" customHeight="1" x14ac:dyDescent="0.3">
      <c r="A131" s="222"/>
      <c r="B131" s="79" t="s">
        <v>177</v>
      </c>
      <c r="C131" s="302">
        <v>13208</v>
      </c>
      <c r="D131" s="303">
        <v>13402</v>
      </c>
      <c r="E131" s="323"/>
      <c r="F131" s="324">
        <v>194</v>
      </c>
      <c r="G131" s="233">
        <v>1.4688067837674137</v>
      </c>
    </row>
    <row r="132" spans="1:10" ht="15" customHeight="1" x14ac:dyDescent="0.3">
      <c r="A132" s="222"/>
      <c r="B132" s="320" t="s">
        <v>109</v>
      </c>
      <c r="C132" s="166">
        <v>26183</v>
      </c>
      <c r="D132" s="167">
        <v>27593</v>
      </c>
      <c r="E132" s="168"/>
      <c r="F132" s="169">
        <v>1410</v>
      </c>
      <c r="G132" s="215">
        <v>5.3851735859145249</v>
      </c>
    </row>
    <row r="133" spans="1:10" ht="15" customHeight="1" x14ac:dyDescent="0.3">
      <c r="A133" s="236"/>
      <c r="B133" s="325"/>
      <c r="C133" s="187"/>
      <c r="D133" s="289"/>
      <c r="E133" s="294"/>
      <c r="F133" s="189"/>
      <c r="G133" s="220"/>
    </row>
    <row r="134" spans="1:10" ht="36" customHeight="1" x14ac:dyDescent="0.3">
      <c r="A134" s="841">
        <v>19</v>
      </c>
      <c r="B134" s="326" t="s">
        <v>182</v>
      </c>
      <c r="C134" s="327">
        <v>21092</v>
      </c>
      <c r="D134" s="328">
        <v>22555</v>
      </c>
      <c r="E134" s="329"/>
      <c r="F134" s="330">
        <v>1463</v>
      </c>
      <c r="G134" s="331">
        <v>6.9362791579745871</v>
      </c>
    </row>
    <row r="135" spans="1:10" ht="15" customHeight="1" x14ac:dyDescent="0.3">
      <c r="A135" s="841"/>
      <c r="B135" s="332" t="s">
        <v>104</v>
      </c>
      <c r="C135" s="327">
        <v>5822</v>
      </c>
      <c r="D135" s="328">
        <v>5980</v>
      </c>
      <c r="E135" s="329"/>
      <c r="F135" s="330">
        <v>158</v>
      </c>
      <c r="G135" s="331">
        <v>2.713844039848849</v>
      </c>
      <c r="H135" s="96"/>
      <c r="I135" s="96"/>
    </row>
    <row r="136" spans="1:10" ht="15" customHeight="1" x14ac:dyDescent="0.3">
      <c r="A136" s="841"/>
      <c r="B136" s="333" t="s">
        <v>105</v>
      </c>
      <c r="C136" s="327">
        <v>1815</v>
      </c>
      <c r="D136" s="328">
        <v>1877</v>
      </c>
      <c r="E136" s="329"/>
      <c r="F136" s="330">
        <v>62</v>
      </c>
      <c r="G136" s="331">
        <v>3.4159779614325072</v>
      </c>
      <c r="H136" s="334"/>
      <c r="I136" s="96"/>
    </row>
    <row r="137" spans="1:10" ht="15" customHeight="1" x14ac:dyDescent="0.3">
      <c r="A137" s="841"/>
      <c r="B137" s="335" t="s">
        <v>183</v>
      </c>
      <c r="C137" s="336">
        <v>1180</v>
      </c>
      <c r="D137" s="337">
        <v>1223</v>
      </c>
      <c r="E137" s="338"/>
      <c r="F137" s="339">
        <v>43</v>
      </c>
      <c r="G137" s="340">
        <v>3.6440677966101696</v>
      </c>
      <c r="H137" s="96"/>
      <c r="I137" s="96"/>
      <c r="J137" s="96"/>
    </row>
    <row r="138" spans="1:10" ht="15" customHeight="1" x14ac:dyDescent="0.3">
      <c r="A138" s="841"/>
      <c r="B138" s="335" t="s">
        <v>184</v>
      </c>
      <c r="C138" s="336">
        <v>635</v>
      </c>
      <c r="D138" s="337">
        <v>654</v>
      </c>
      <c r="E138" s="338"/>
      <c r="F138" s="339">
        <v>19</v>
      </c>
      <c r="G138" s="340">
        <v>2.9921259842519685</v>
      </c>
      <c r="I138" s="96"/>
    </row>
    <row r="139" spans="1:10" ht="15" customHeight="1" x14ac:dyDescent="0.3">
      <c r="A139" s="841"/>
      <c r="B139" s="333" t="s">
        <v>177</v>
      </c>
      <c r="C139" s="327">
        <v>4007</v>
      </c>
      <c r="D139" s="328">
        <v>4103</v>
      </c>
      <c r="E139" s="329"/>
      <c r="F139" s="330">
        <v>96</v>
      </c>
      <c r="G139" s="331">
        <v>2.3958073371599697</v>
      </c>
      <c r="H139" s="341"/>
      <c r="I139" s="96"/>
    </row>
    <row r="140" spans="1:10" ht="15" customHeight="1" x14ac:dyDescent="0.3">
      <c r="A140" s="841"/>
      <c r="B140" s="335" t="s">
        <v>183</v>
      </c>
      <c r="C140" s="336">
        <v>2727</v>
      </c>
      <c r="D140" s="337">
        <v>2802</v>
      </c>
      <c r="E140" s="338"/>
      <c r="F140" s="339">
        <v>75</v>
      </c>
      <c r="G140" s="340">
        <v>2.7502750275027505</v>
      </c>
      <c r="I140" s="96"/>
    </row>
    <row r="141" spans="1:10" ht="15" customHeight="1" x14ac:dyDescent="0.3">
      <c r="A141" s="841"/>
      <c r="B141" s="335" t="s">
        <v>184</v>
      </c>
      <c r="C141" s="336">
        <v>1280</v>
      </c>
      <c r="D141" s="337">
        <v>1301</v>
      </c>
      <c r="E141" s="338"/>
      <c r="F141" s="339">
        <v>21</v>
      </c>
      <c r="G141" s="340">
        <v>1.640625</v>
      </c>
      <c r="H141" s="96"/>
      <c r="I141" s="96"/>
    </row>
    <row r="142" spans="1:10" ht="15" customHeight="1" x14ac:dyDescent="0.3">
      <c r="A142" s="841"/>
      <c r="B142" s="332" t="s">
        <v>109</v>
      </c>
      <c r="C142" s="327">
        <v>15270</v>
      </c>
      <c r="D142" s="328">
        <v>16575</v>
      </c>
      <c r="E142" s="329"/>
      <c r="F142" s="330">
        <v>1305</v>
      </c>
      <c r="G142" s="331">
        <v>8.5461689587426317</v>
      </c>
      <c r="H142" s="341"/>
      <c r="I142" s="96"/>
    </row>
    <row r="143" spans="1:10" ht="15" customHeight="1" x14ac:dyDescent="0.3">
      <c r="A143" s="841"/>
      <c r="B143" s="335" t="s">
        <v>183</v>
      </c>
      <c r="C143" s="336">
        <v>9926</v>
      </c>
      <c r="D143" s="337">
        <v>10836</v>
      </c>
      <c r="E143" s="338"/>
      <c r="F143" s="339">
        <v>910</v>
      </c>
      <c r="G143" s="340">
        <v>9.1678420310296183</v>
      </c>
      <c r="I143" s="96"/>
    </row>
    <row r="144" spans="1:10" ht="15" customHeight="1" x14ac:dyDescent="0.3">
      <c r="A144" s="842"/>
      <c r="B144" s="342" t="s">
        <v>184</v>
      </c>
      <c r="C144" s="343">
        <v>5344</v>
      </c>
      <c r="D144" s="344">
        <v>5739</v>
      </c>
      <c r="E144" s="345"/>
      <c r="F144" s="346">
        <v>395</v>
      </c>
      <c r="G144" s="347">
        <v>7.3914670658682642</v>
      </c>
      <c r="I144" s="96"/>
    </row>
    <row r="145" spans="1:9" ht="41.25" customHeight="1" x14ac:dyDescent="0.3">
      <c r="A145" s="841">
        <v>20</v>
      </c>
      <c r="B145" s="348" t="s">
        <v>185</v>
      </c>
      <c r="C145" s="327">
        <v>13833</v>
      </c>
      <c r="D145" s="328">
        <v>14861</v>
      </c>
      <c r="E145" s="329"/>
      <c r="F145" s="330">
        <v>1028</v>
      </c>
      <c r="G145" s="331">
        <v>7.4315043735993642</v>
      </c>
      <c r="H145" s="349"/>
    </row>
    <row r="146" spans="1:9" ht="15" customHeight="1" x14ac:dyDescent="0.3">
      <c r="A146" s="841"/>
      <c r="B146" s="350" t="s">
        <v>186</v>
      </c>
      <c r="C146" s="336">
        <v>1521</v>
      </c>
      <c r="D146" s="337">
        <v>1628</v>
      </c>
      <c r="E146" s="338"/>
      <c r="F146" s="339">
        <v>107</v>
      </c>
      <c r="G146" s="340">
        <v>7.0348454963839586</v>
      </c>
      <c r="H146" s="171"/>
      <c r="I146" s="96"/>
    </row>
    <row r="147" spans="1:9" ht="15" customHeight="1" x14ac:dyDescent="0.3">
      <c r="A147" s="841"/>
      <c r="B147" s="350" t="s">
        <v>187</v>
      </c>
      <c r="C147" s="336">
        <v>835</v>
      </c>
      <c r="D147" s="337">
        <v>913</v>
      </c>
      <c r="E147" s="338"/>
      <c r="F147" s="339">
        <v>78</v>
      </c>
      <c r="G147" s="340">
        <v>9.341317365269461</v>
      </c>
      <c r="H147" s="171"/>
      <c r="I147" s="96"/>
    </row>
    <row r="148" spans="1:9" ht="15" customHeight="1" x14ac:dyDescent="0.3">
      <c r="A148" s="841"/>
      <c r="B148" s="350" t="s">
        <v>188</v>
      </c>
      <c r="C148" s="336">
        <v>1186</v>
      </c>
      <c r="D148" s="337">
        <v>1241</v>
      </c>
      <c r="E148" s="338"/>
      <c r="F148" s="339">
        <v>55</v>
      </c>
      <c r="G148" s="340">
        <v>4.6374367622259696</v>
      </c>
      <c r="H148" s="171"/>
      <c r="I148" s="96"/>
    </row>
    <row r="149" spans="1:9" ht="15" customHeight="1" x14ac:dyDescent="0.3">
      <c r="A149" s="841"/>
      <c r="B149" s="350" t="s">
        <v>189</v>
      </c>
      <c r="C149" s="336">
        <v>15</v>
      </c>
      <c r="D149" s="337">
        <v>15</v>
      </c>
      <c r="E149" s="338"/>
      <c r="F149" s="339">
        <v>0</v>
      </c>
      <c r="G149" s="340">
        <v>0</v>
      </c>
      <c r="H149" s="171"/>
      <c r="I149" s="96"/>
    </row>
    <row r="150" spans="1:9" ht="15" customHeight="1" x14ac:dyDescent="0.3">
      <c r="A150" s="841"/>
      <c r="B150" s="350" t="s">
        <v>190</v>
      </c>
      <c r="C150" s="336">
        <v>300</v>
      </c>
      <c r="D150" s="337">
        <v>330</v>
      </c>
      <c r="E150" s="338"/>
      <c r="F150" s="339">
        <v>30</v>
      </c>
      <c r="G150" s="340">
        <v>10</v>
      </c>
      <c r="H150" s="171"/>
      <c r="I150" s="96"/>
    </row>
    <row r="151" spans="1:9" ht="15" customHeight="1" x14ac:dyDescent="0.3">
      <c r="A151" s="841"/>
      <c r="B151" s="350" t="s">
        <v>191</v>
      </c>
      <c r="C151" s="336">
        <v>191</v>
      </c>
      <c r="D151" s="337">
        <v>215</v>
      </c>
      <c r="E151" s="338"/>
      <c r="F151" s="339">
        <v>24</v>
      </c>
      <c r="G151" s="340">
        <v>12.56544502617801</v>
      </c>
      <c r="H151" s="171"/>
      <c r="I151" s="96"/>
    </row>
    <row r="152" spans="1:9" ht="15" customHeight="1" x14ac:dyDescent="0.3">
      <c r="A152" s="841"/>
      <c r="B152" s="350" t="s">
        <v>192</v>
      </c>
      <c r="C152" s="336">
        <v>1344</v>
      </c>
      <c r="D152" s="337">
        <v>1505</v>
      </c>
      <c r="E152" s="338"/>
      <c r="F152" s="339">
        <v>161</v>
      </c>
      <c r="G152" s="340">
        <v>11.979166666666668</v>
      </c>
      <c r="H152" s="171"/>
      <c r="I152" s="96"/>
    </row>
    <row r="153" spans="1:9" ht="15" customHeight="1" x14ac:dyDescent="0.3">
      <c r="A153" s="841"/>
      <c r="B153" s="350" t="s">
        <v>193</v>
      </c>
      <c r="C153" s="336">
        <v>29</v>
      </c>
      <c r="D153" s="337">
        <v>30</v>
      </c>
      <c r="E153" s="338"/>
      <c r="F153" s="339">
        <v>1</v>
      </c>
      <c r="G153" s="340">
        <v>3.4482758620689653</v>
      </c>
      <c r="H153" s="171"/>
      <c r="I153" s="96"/>
    </row>
    <row r="154" spans="1:9" ht="15" customHeight="1" x14ac:dyDescent="0.3">
      <c r="A154" s="841"/>
      <c r="B154" s="350" t="s">
        <v>194</v>
      </c>
      <c r="C154" s="336">
        <v>2419</v>
      </c>
      <c r="D154" s="337">
        <v>2567</v>
      </c>
      <c r="E154" s="338"/>
      <c r="F154" s="339">
        <v>148</v>
      </c>
      <c r="G154" s="340">
        <v>6.1182306738321621</v>
      </c>
      <c r="H154" s="171"/>
      <c r="I154" s="96"/>
    </row>
    <row r="155" spans="1:9" ht="15" customHeight="1" x14ac:dyDescent="0.3">
      <c r="A155" s="841"/>
      <c r="B155" s="350" t="s">
        <v>195</v>
      </c>
      <c r="C155" s="336">
        <v>576</v>
      </c>
      <c r="D155" s="337">
        <v>600</v>
      </c>
      <c r="E155" s="338"/>
      <c r="F155" s="339">
        <v>24</v>
      </c>
      <c r="G155" s="340">
        <v>4.1666666666666661</v>
      </c>
      <c r="H155" s="171"/>
      <c r="I155" s="96"/>
    </row>
    <row r="156" spans="1:9" ht="15" customHeight="1" x14ac:dyDescent="0.3">
      <c r="A156" s="841"/>
      <c r="B156" s="350" t="s">
        <v>196</v>
      </c>
      <c r="C156" s="336">
        <v>2162</v>
      </c>
      <c r="D156" s="337">
        <v>2378</v>
      </c>
      <c r="E156" s="338"/>
      <c r="F156" s="339">
        <v>216</v>
      </c>
      <c r="G156" s="340">
        <v>9.990749306197964</v>
      </c>
      <c r="H156" s="171"/>
      <c r="I156" s="96"/>
    </row>
    <row r="157" spans="1:9" ht="15" customHeight="1" x14ac:dyDescent="0.3">
      <c r="A157" s="841"/>
      <c r="B157" s="350" t="s">
        <v>197</v>
      </c>
      <c r="C157" s="336">
        <v>1285</v>
      </c>
      <c r="D157" s="337">
        <v>1306</v>
      </c>
      <c r="E157" s="338"/>
      <c r="F157" s="339">
        <v>21</v>
      </c>
      <c r="G157" s="340">
        <v>1.634241245136187</v>
      </c>
      <c r="H157" s="171"/>
      <c r="I157" s="96"/>
    </row>
    <row r="158" spans="1:9" ht="15" customHeight="1" x14ac:dyDescent="0.3">
      <c r="A158" s="841"/>
      <c r="B158" s="350" t="s">
        <v>198</v>
      </c>
      <c r="C158" s="336">
        <v>179</v>
      </c>
      <c r="D158" s="337">
        <v>184</v>
      </c>
      <c r="E158" s="338"/>
      <c r="F158" s="339">
        <v>5</v>
      </c>
      <c r="G158" s="340">
        <v>2.7932960893854748</v>
      </c>
      <c r="H158" s="171"/>
      <c r="I158" s="96"/>
    </row>
    <row r="159" spans="1:9" ht="15" customHeight="1" x14ac:dyDescent="0.3">
      <c r="A159" s="841"/>
      <c r="B159" s="350" t="s">
        <v>199</v>
      </c>
      <c r="C159" s="336">
        <v>40</v>
      </c>
      <c r="D159" s="337">
        <v>41</v>
      </c>
      <c r="E159" s="338"/>
      <c r="F159" s="339">
        <v>1</v>
      </c>
      <c r="G159" s="340">
        <v>2.5</v>
      </c>
      <c r="H159" s="171"/>
      <c r="I159" s="96"/>
    </row>
    <row r="160" spans="1:9" ht="15" customHeight="1" x14ac:dyDescent="0.3">
      <c r="A160" s="841"/>
      <c r="B160" s="350" t="s">
        <v>200</v>
      </c>
      <c r="C160" s="336">
        <v>1465</v>
      </c>
      <c r="D160" s="337">
        <v>1607</v>
      </c>
      <c r="E160" s="338"/>
      <c r="F160" s="339">
        <v>142</v>
      </c>
      <c r="G160" s="340">
        <v>9.692832764505118</v>
      </c>
      <c r="H160" s="171"/>
      <c r="I160" s="96"/>
    </row>
    <row r="161" spans="1:9" ht="15" customHeight="1" x14ac:dyDescent="0.3">
      <c r="A161" s="842"/>
      <c r="B161" s="351" t="s">
        <v>201</v>
      </c>
      <c r="C161" s="343">
        <v>286</v>
      </c>
      <c r="D161" s="344">
        <v>301</v>
      </c>
      <c r="E161" s="345"/>
      <c r="F161" s="346">
        <v>15</v>
      </c>
      <c r="G161" s="347">
        <v>5.244755244755245</v>
      </c>
      <c r="H161" s="171"/>
      <c r="I161" s="96"/>
    </row>
    <row r="162" spans="1:9" ht="15" customHeight="1" x14ac:dyDescent="0.35">
      <c r="A162" s="58" t="s">
        <v>202</v>
      </c>
      <c r="B162" s="352" t="s">
        <v>203</v>
      </c>
      <c r="C162" s="353"/>
      <c r="D162" s="354"/>
      <c r="E162" s="355"/>
      <c r="F162" s="356"/>
      <c r="G162" s="357"/>
    </row>
    <row r="163" spans="1:9" ht="15" customHeight="1" x14ac:dyDescent="0.35">
      <c r="A163" s="151"/>
      <c r="B163" s="249"/>
      <c r="C163" s="191"/>
      <c r="D163" s="192"/>
      <c r="E163" s="193"/>
      <c r="F163" s="194"/>
      <c r="G163" s="195"/>
    </row>
    <row r="164" spans="1:9" ht="21.75" customHeight="1" x14ac:dyDescent="0.3">
      <c r="A164" s="136">
        <v>1</v>
      </c>
      <c r="B164" s="249" t="s">
        <v>204</v>
      </c>
      <c r="C164" s="117">
        <v>23786.799999999999</v>
      </c>
      <c r="D164" s="246">
        <v>24259.1</v>
      </c>
      <c r="E164" s="358"/>
      <c r="F164" s="359">
        <v>472.29999999999927</v>
      </c>
      <c r="G164" s="215">
        <v>1.985555013705077</v>
      </c>
    </row>
    <row r="165" spans="1:9" ht="11.25" customHeight="1" x14ac:dyDescent="0.35">
      <c r="A165" s="269"/>
      <c r="B165" s="360"/>
      <c r="C165" s="361"/>
      <c r="D165" s="362"/>
      <c r="E165" s="363"/>
      <c r="F165" s="364"/>
      <c r="G165" s="365"/>
    </row>
    <row r="166" spans="1:9" ht="15" hidden="1" customHeight="1" x14ac:dyDescent="0.35">
      <c r="A166" s="814">
        <v>2</v>
      </c>
      <c r="B166" s="366"/>
      <c r="C166" s="191">
        <v>0</v>
      </c>
      <c r="D166" s="192"/>
      <c r="E166" s="193"/>
      <c r="F166" s="194"/>
      <c r="G166" s="367"/>
    </row>
    <row r="167" spans="1:9" ht="15" hidden="1" customHeight="1" x14ac:dyDescent="0.35">
      <c r="A167" s="815"/>
      <c r="B167" s="249" t="s">
        <v>205</v>
      </c>
      <c r="C167" s="368" t="s">
        <v>206</v>
      </c>
      <c r="D167" s="369" t="s">
        <v>206</v>
      </c>
      <c r="E167" s="370"/>
      <c r="F167" s="371" t="s">
        <v>206</v>
      </c>
      <c r="G167" s="372" t="s">
        <v>206</v>
      </c>
    </row>
    <row r="168" spans="1:9" ht="15" hidden="1" customHeight="1" x14ac:dyDescent="0.35">
      <c r="A168" s="269"/>
      <c r="B168" s="249"/>
      <c r="C168" s="373">
        <v>0</v>
      </c>
      <c r="D168" s="374"/>
      <c r="E168" s="253"/>
      <c r="F168" s="375"/>
      <c r="G168" s="250"/>
    </row>
    <row r="169" spans="1:9" ht="15" hidden="1" customHeight="1" x14ac:dyDescent="0.35">
      <c r="A169" s="816">
        <v>3</v>
      </c>
      <c r="B169" s="366"/>
      <c r="C169" s="376">
        <v>0</v>
      </c>
      <c r="D169" s="192"/>
      <c r="E169" s="377"/>
      <c r="F169" s="378"/>
      <c r="G169" s="367"/>
    </row>
    <row r="170" spans="1:9" ht="15" hidden="1" customHeight="1" x14ac:dyDescent="0.35">
      <c r="A170" s="817"/>
      <c r="B170" s="249" t="s">
        <v>207</v>
      </c>
      <c r="C170" s="379" t="s">
        <v>206</v>
      </c>
      <c r="D170" s="380" t="s">
        <v>206</v>
      </c>
      <c r="E170" s="381"/>
      <c r="F170" s="382" t="s">
        <v>206</v>
      </c>
      <c r="G170" s="383" t="s">
        <v>206</v>
      </c>
    </row>
    <row r="171" spans="1:9" ht="24.75" customHeight="1" x14ac:dyDescent="0.35">
      <c r="A171" s="151">
        <v>2</v>
      </c>
      <c r="B171" s="65" t="s">
        <v>208</v>
      </c>
      <c r="C171" s="245">
        <v>108.98</v>
      </c>
      <c r="D171" s="246">
        <v>109.5</v>
      </c>
      <c r="E171" s="291"/>
      <c r="F171" s="248">
        <v>0.51999999999999602</v>
      </c>
      <c r="G171" s="367"/>
    </row>
    <row r="172" spans="1:9" ht="19.5" customHeight="1" x14ac:dyDescent="0.35">
      <c r="A172" s="136"/>
      <c r="B172" s="72" t="s">
        <v>209</v>
      </c>
      <c r="C172" s="245">
        <v>0</v>
      </c>
      <c r="D172" s="246">
        <v>-0.8</v>
      </c>
      <c r="E172" s="291"/>
      <c r="F172" s="248">
        <v>-0.8</v>
      </c>
      <c r="G172" s="250"/>
    </row>
    <row r="173" spans="1:9" ht="18" customHeight="1" x14ac:dyDescent="0.35">
      <c r="A173" s="160"/>
      <c r="B173" s="360" t="s">
        <v>210</v>
      </c>
      <c r="C173" s="245">
        <v>0.8</v>
      </c>
      <c r="D173" s="246">
        <v>0.5</v>
      </c>
      <c r="E173" s="291"/>
      <c r="F173" s="248">
        <v>-0.30000000000000004</v>
      </c>
      <c r="G173" s="365"/>
    </row>
    <row r="174" spans="1:9" ht="23.25" customHeight="1" x14ac:dyDescent="0.35">
      <c r="A174" s="806">
        <v>3</v>
      </c>
      <c r="B174" s="151" t="s">
        <v>211</v>
      </c>
      <c r="C174" s="191"/>
      <c r="D174" s="192"/>
      <c r="E174" s="193"/>
      <c r="F174" s="194"/>
      <c r="G174" s="195"/>
    </row>
    <row r="175" spans="1:9" ht="15" customHeight="1" x14ac:dyDescent="0.35">
      <c r="A175" s="807"/>
      <c r="B175" s="251" t="s">
        <v>212</v>
      </c>
      <c r="C175" s="185">
        <v>2.95</v>
      </c>
      <c r="D175" s="286">
        <v>3.68</v>
      </c>
      <c r="E175" s="384"/>
      <c r="F175" s="234">
        <v>0.73</v>
      </c>
      <c r="G175" s="127"/>
    </row>
    <row r="176" spans="1:9" ht="15" customHeight="1" x14ac:dyDescent="0.35">
      <c r="A176" s="807"/>
      <c r="B176" s="251" t="s">
        <v>213</v>
      </c>
      <c r="C176" s="185">
        <v>3.8</v>
      </c>
      <c r="D176" s="286">
        <v>4.28</v>
      </c>
      <c r="E176" s="384"/>
      <c r="F176" s="234">
        <v>0.48000000000000043</v>
      </c>
      <c r="G176" s="127"/>
    </row>
    <row r="177" spans="1:13" ht="15" customHeight="1" x14ac:dyDescent="0.35">
      <c r="A177" s="807"/>
      <c r="B177" s="251" t="s">
        <v>214</v>
      </c>
      <c r="C177" s="185">
        <v>3.64</v>
      </c>
      <c r="D177" s="286">
        <v>4.09</v>
      </c>
      <c r="E177" s="384"/>
      <c r="F177" s="234">
        <v>0.44999999999999973</v>
      </c>
      <c r="G177" s="127"/>
    </row>
    <row r="178" spans="1:13" ht="25.5" customHeight="1" x14ac:dyDescent="0.35">
      <c r="A178" s="808"/>
      <c r="B178" s="271" t="s">
        <v>215</v>
      </c>
      <c r="C178" s="187">
        <v>3.82</v>
      </c>
      <c r="D178" s="132">
        <v>4.3</v>
      </c>
      <c r="E178" s="385"/>
      <c r="F178" s="189">
        <v>0.48</v>
      </c>
      <c r="G178" s="135"/>
    </row>
    <row r="179" spans="1:13" ht="15" customHeight="1" x14ac:dyDescent="0.35">
      <c r="A179" s="386" t="s">
        <v>216</v>
      </c>
      <c r="B179" s="387" t="s">
        <v>217</v>
      </c>
      <c r="C179" s="353"/>
      <c r="D179" s="354"/>
      <c r="E179" s="355"/>
      <c r="F179" s="356"/>
      <c r="G179" s="357"/>
    </row>
    <row r="180" spans="1:13" ht="20.25" customHeight="1" x14ac:dyDescent="0.3">
      <c r="A180" s="388">
        <v>1</v>
      </c>
      <c r="B180" s="249" t="s">
        <v>218</v>
      </c>
      <c r="C180" s="327">
        <v>6249262</v>
      </c>
      <c r="D180" s="167">
        <v>6290420</v>
      </c>
      <c r="E180" s="389"/>
      <c r="F180" s="214">
        <v>41158</v>
      </c>
      <c r="G180" s="215">
        <v>0.65860576816910543</v>
      </c>
    </row>
    <row r="181" spans="1:13" ht="20.25" customHeight="1" x14ac:dyDescent="0.3">
      <c r="A181" s="165">
        <v>2</v>
      </c>
      <c r="B181" s="249" t="s">
        <v>219</v>
      </c>
      <c r="C181" s="327">
        <v>2724754</v>
      </c>
      <c r="D181" s="167">
        <v>2795156</v>
      </c>
      <c r="E181" s="389"/>
      <c r="F181" s="214">
        <v>70402</v>
      </c>
      <c r="G181" s="215">
        <v>2.5837928855228767</v>
      </c>
    </row>
    <row r="182" spans="1:13" ht="6.75" customHeight="1" x14ac:dyDescent="0.35">
      <c r="A182" s="390"/>
      <c r="B182" s="391"/>
      <c r="C182" s="240"/>
      <c r="D182" s="241"/>
      <c r="E182" s="242"/>
      <c r="F182" s="243"/>
      <c r="G182" s="93"/>
    </row>
    <row r="183" spans="1:13" ht="6.75" customHeight="1" x14ac:dyDescent="0.35">
      <c r="A183" s="392"/>
      <c r="B183" s="393"/>
      <c r="C183" s="393"/>
      <c r="D183" s="394"/>
      <c r="E183" s="393"/>
      <c r="F183" s="393"/>
      <c r="G183" s="394"/>
    </row>
    <row r="184" spans="1:13" ht="21.75" customHeight="1" x14ac:dyDescent="0.3">
      <c r="A184" s="838" t="s">
        <v>220</v>
      </c>
      <c r="B184" s="838"/>
      <c r="C184" s="838"/>
      <c r="D184" s="838"/>
      <c r="E184" s="838"/>
      <c r="F184" s="838"/>
      <c r="G184" s="838"/>
    </row>
    <row r="185" spans="1:13" ht="32.25" customHeight="1" x14ac:dyDescent="0.35">
      <c r="A185" s="835" t="s">
        <v>221</v>
      </c>
      <c r="B185" s="835"/>
      <c r="C185" s="835"/>
      <c r="D185" s="835"/>
      <c r="E185" s="835"/>
      <c r="F185" s="835"/>
      <c r="G185" s="835"/>
      <c r="H185" s="803"/>
      <c r="I185" s="803"/>
      <c r="J185" s="803"/>
      <c r="K185" s="803"/>
      <c r="L185" s="803"/>
      <c r="M185" s="803"/>
    </row>
    <row r="186" spans="1:13" ht="31.5" customHeight="1" x14ac:dyDescent="0.35">
      <c r="A186" s="835" t="s">
        <v>222</v>
      </c>
      <c r="B186" s="835"/>
      <c r="C186" s="835"/>
      <c r="D186" s="835"/>
      <c r="E186" s="835"/>
      <c r="F186" s="835"/>
      <c r="G186" s="835"/>
      <c r="H186" s="395"/>
      <c r="I186" s="395"/>
      <c r="J186" s="395"/>
      <c r="K186" s="395"/>
      <c r="L186" s="395"/>
      <c r="M186" s="395"/>
    </row>
    <row r="187" spans="1:13" ht="21.75" customHeight="1" x14ac:dyDescent="0.35">
      <c r="A187" s="834" t="s">
        <v>223</v>
      </c>
      <c r="B187" s="834"/>
      <c r="C187" s="834"/>
      <c r="D187" s="834"/>
      <c r="E187" s="834"/>
      <c r="F187" s="834"/>
      <c r="G187" s="834"/>
      <c r="H187" s="395"/>
      <c r="I187" s="395"/>
      <c r="J187" s="395"/>
      <c r="K187" s="395"/>
      <c r="L187" s="395"/>
      <c r="M187" s="395"/>
    </row>
    <row r="188" spans="1:13" ht="21.75" customHeight="1" x14ac:dyDescent="0.35">
      <c r="A188" s="834" t="s">
        <v>224</v>
      </c>
      <c r="B188" s="834"/>
      <c r="C188" s="834"/>
      <c r="D188" s="834"/>
      <c r="E188" s="834"/>
      <c r="F188" s="834"/>
      <c r="G188" s="834"/>
      <c r="H188" s="395"/>
      <c r="I188" s="395"/>
      <c r="J188" s="395"/>
      <c r="K188" s="395"/>
      <c r="L188" s="395"/>
      <c r="M188" s="395"/>
    </row>
    <row r="189" spans="1:13" ht="30" customHeight="1" x14ac:dyDescent="0.35">
      <c r="A189" s="836" t="s">
        <v>225</v>
      </c>
      <c r="B189" s="836"/>
      <c r="C189" s="836"/>
      <c r="D189" s="836"/>
      <c r="E189" s="836"/>
      <c r="F189" s="836"/>
      <c r="G189" s="836"/>
      <c r="H189" s="395"/>
      <c r="I189" s="395"/>
      <c r="J189" s="395"/>
      <c r="K189" s="395"/>
      <c r="L189" s="395"/>
      <c r="M189" s="395"/>
    </row>
    <row r="190" spans="1:13" ht="21.75" customHeight="1" x14ac:dyDescent="0.35">
      <c r="A190" s="396" t="s">
        <v>226</v>
      </c>
      <c r="B190" s="396"/>
      <c r="C190" s="396"/>
      <c r="D190" s="397"/>
      <c r="E190" s="396"/>
      <c r="F190" s="396"/>
      <c r="G190" s="397"/>
      <c r="H190" s="398"/>
      <c r="I190" s="398"/>
      <c r="J190" s="398"/>
      <c r="K190" s="398"/>
      <c r="L190" s="398"/>
      <c r="M190" s="398"/>
    </row>
    <row r="191" spans="1:13" ht="20.25" customHeight="1" x14ac:dyDescent="0.35">
      <c r="A191" s="837" t="s">
        <v>227</v>
      </c>
      <c r="B191" s="837"/>
      <c r="C191" s="837"/>
      <c r="D191" s="837"/>
      <c r="E191" s="837"/>
      <c r="F191" s="837"/>
      <c r="G191" s="837"/>
      <c r="H191" s="398"/>
      <c r="I191" s="398"/>
      <c r="J191" s="398"/>
      <c r="K191" s="398"/>
      <c r="L191" s="398"/>
      <c r="M191" s="398"/>
    </row>
    <row r="192" spans="1:13" ht="24" customHeight="1" x14ac:dyDescent="0.35">
      <c r="A192" s="834" t="s">
        <v>228</v>
      </c>
      <c r="B192" s="834"/>
      <c r="C192" s="834"/>
      <c r="D192" s="834"/>
      <c r="E192" s="834"/>
      <c r="F192" s="834"/>
      <c r="G192" s="834"/>
      <c r="H192" s="803"/>
      <c r="I192" s="803"/>
      <c r="J192" s="803"/>
      <c r="K192" s="803"/>
      <c r="L192" s="803"/>
      <c r="M192" s="803"/>
    </row>
    <row r="193" spans="1:13" ht="20.25" customHeight="1" x14ac:dyDescent="0.35">
      <c r="A193" s="399" t="s">
        <v>229</v>
      </c>
      <c r="B193" s="396"/>
      <c r="C193" s="396"/>
      <c r="D193" s="397"/>
      <c r="E193" s="396"/>
      <c r="F193" s="396"/>
      <c r="G193" s="397"/>
      <c r="H193" s="398"/>
      <c r="I193" s="398"/>
      <c r="J193" s="398"/>
      <c r="K193" s="398"/>
      <c r="L193" s="398"/>
      <c r="M193" s="398"/>
    </row>
    <row r="194" spans="1:13" ht="15" customHeight="1" x14ac:dyDescent="0.35">
      <c r="A194" s="398"/>
      <c r="B194" s="398"/>
      <c r="C194" s="400"/>
      <c r="D194" s="401"/>
      <c r="E194" s="398"/>
      <c r="F194" s="398"/>
      <c r="G194" s="401"/>
      <c r="H194" s="398"/>
      <c r="I194" s="398"/>
      <c r="J194" s="400"/>
      <c r="K194" s="398"/>
      <c r="L194" s="398"/>
      <c r="M194" s="398"/>
    </row>
    <row r="195" spans="1:13" ht="15.5" x14ac:dyDescent="0.35">
      <c r="A195" s="398"/>
      <c r="F195" s="400"/>
    </row>
  </sheetData>
  <mergeCells count="29">
    <mergeCell ref="B1:G1"/>
    <mergeCell ref="B2:G2"/>
    <mergeCell ref="A4:B5"/>
    <mergeCell ref="C4:C5"/>
    <mergeCell ref="D4:E5"/>
    <mergeCell ref="F4:G4"/>
    <mergeCell ref="A169:A170"/>
    <mergeCell ref="A174:A178"/>
    <mergeCell ref="A184:G184"/>
    <mergeCell ref="A185:G185"/>
    <mergeCell ref="A7:A11"/>
    <mergeCell ref="A20:A24"/>
    <mergeCell ref="A71:A74"/>
    <mergeCell ref="B71:B72"/>
    <mergeCell ref="A82:A83"/>
    <mergeCell ref="B82:B83"/>
    <mergeCell ref="A107:A111"/>
    <mergeCell ref="B107:B108"/>
    <mergeCell ref="A134:A144"/>
    <mergeCell ref="A145:A161"/>
    <mergeCell ref="A166:A167"/>
    <mergeCell ref="A192:G192"/>
    <mergeCell ref="H192:M192"/>
    <mergeCell ref="H185:M185"/>
    <mergeCell ref="A186:G186"/>
    <mergeCell ref="A188:G188"/>
    <mergeCell ref="A189:G189"/>
    <mergeCell ref="A191:G191"/>
    <mergeCell ref="A187:G18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95"/>
  <sheetViews>
    <sheetView topLeftCell="A124" workbookViewId="0">
      <selection sqref="A1:XFD1048576"/>
    </sheetView>
  </sheetViews>
  <sheetFormatPr baseColWidth="10" defaultColWidth="11.453125" defaultRowHeight="13" x14ac:dyDescent="0.3"/>
  <cols>
    <col min="1" max="1" width="4.26953125" style="47" customWidth="1"/>
    <col min="2" max="2" width="93.54296875" style="51" customWidth="1"/>
    <col min="3" max="3" width="16" style="51" customWidth="1"/>
    <col min="4" max="4" width="15.1796875" style="177" customWidth="1"/>
    <col min="5" max="5" width="3.1796875" style="51" customWidth="1"/>
    <col min="6" max="6" width="15.26953125" style="51" customWidth="1"/>
    <col min="7" max="7" width="14.54296875" style="177" customWidth="1"/>
    <col min="8" max="8" width="34.54296875" style="51" customWidth="1"/>
    <col min="9" max="9" width="15.7265625" style="51" customWidth="1"/>
    <col min="10" max="10" width="13.81640625" style="51" bestFit="1" customWidth="1"/>
    <col min="11" max="11" width="11.453125" style="51" customWidth="1"/>
    <col min="12" max="12" width="22" style="51" bestFit="1" customWidth="1"/>
    <col min="13" max="256" width="11.453125" style="51"/>
    <col min="257" max="257" width="4.26953125" style="51" customWidth="1"/>
    <col min="258" max="258" width="93.54296875" style="51" customWidth="1"/>
    <col min="259" max="259" width="16" style="51" customWidth="1"/>
    <col min="260" max="260" width="15.1796875" style="51" customWidth="1"/>
    <col min="261" max="261" width="3.1796875" style="51" customWidth="1"/>
    <col min="262" max="262" width="15.26953125" style="51" customWidth="1"/>
    <col min="263" max="263" width="14.54296875" style="51" customWidth="1"/>
    <col min="264" max="264" width="34.54296875" style="51" customWidth="1"/>
    <col min="265" max="265" width="15.7265625" style="51" customWidth="1"/>
    <col min="266" max="266" width="13.81640625" style="51" bestFit="1" customWidth="1"/>
    <col min="267" max="267" width="11.453125" style="51" customWidth="1"/>
    <col min="268" max="268" width="22" style="51" bestFit="1" customWidth="1"/>
    <col min="269" max="512" width="11.453125" style="51"/>
    <col min="513" max="513" width="4.26953125" style="51" customWidth="1"/>
    <col min="514" max="514" width="93.54296875" style="51" customWidth="1"/>
    <col min="515" max="515" width="16" style="51" customWidth="1"/>
    <col min="516" max="516" width="15.1796875" style="51" customWidth="1"/>
    <col min="517" max="517" width="3.1796875" style="51" customWidth="1"/>
    <col min="518" max="518" width="15.26953125" style="51" customWidth="1"/>
    <col min="519" max="519" width="14.54296875" style="51" customWidth="1"/>
    <col min="520" max="520" width="34.54296875" style="51" customWidth="1"/>
    <col min="521" max="521" width="15.7265625" style="51" customWidth="1"/>
    <col min="522" max="522" width="13.81640625" style="51" bestFit="1" customWidth="1"/>
    <col min="523" max="523" width="11.453125" style="51" customWidth="1"/>
    <col min="524" max="524" width="22" style="51" bestFit="1" customWidth="1"/>
    <col min="525" max="768" width="11.453125" style="51"/>
    <col min="769" max="769" width="4.26953125" style="51" customWidth="1"/>
    <col min="770" max="770" width="93.54296875" style="51" customWidth="1"/>
    <col min="771" max="771" width="16" style="51" customWidth="1"/>
    <col min="772" max="772" width="15.1796875" style="51" customWidth="1"/>
    <col min="773" max="773" width="3.1796875" style="51" customWidth="1"/>
    <col min="774" max="774" width="15.26953125" style="51" customWidth="1"/>
    <col min="775" max="775" width="14.54296875" style="51" customWidth="1"/>
    <col min="776" max="776" width="34.54296875" style="51" customWidth="1"/>
    <col min="777" max="777" width="15.7265625" style="51" customWidth="1"/>
    <col min="778" max="778" width="13.81640625" style="51" bestFit="1" customWidth="1"/>
    <col min="779" max="779" width="11.453125" style="51" customWidth="1"/>
    <col min="780" max="780" width="22" style="51" bestFit="1" customWidth="1"/>
    <col min="781" max="1024" width="11.453125" style="51"/>
    <col min="1025" max="1025" width="4.26953125" style="51" customWidth="1"/>
    <col min="1026" max="1026" width="93.54296875" style="51" customWidth="1"/>
    <col min="1027" max="1027" width="16" style="51" customWidth="1"/>
    <col min="1028" max="1028" width="15.1796875" style="51" customWidth="1"/>
    <col min="1029" max="1029" width="3.1796875" style="51" customWidth="1"/>
    <col min="1030" max="1030" width="15.26953125" style="51" customWidth="1"/>
    <col min="1031" max="1031" width="14.54296875" style="51" customWidth="1"/>
    <col min="1032" max="1032" width="34.54296875" style="51" customWidth="1"/>
    <col min="1033" max="1033" width="15.7265625" style="51" customWidth="1"/>
    <col min="1034" max="1034" width="13.81640625" style="51" bestFit="1" customWidth="1"/>
    <col min="1035" max="1035" width="11.453125" style="51" customWidth="1"/>
    <col min="1036" max="1036" width="22" style="51" bestFit="1" customWidth="1"/>
    <col min="1037" max="1280" width="11.453125" style="51"/>
    <col min="1281" max="1281" width="4.26953125" style="51" customWidth="1"/>
    <col min="1282" max="1282" width="93.54296875" style="51" customWidth="1"/>
    <col min="1283" max="1283" width="16" style="51" customWidth="1"/>
    <col min="1284" max="1284" width="15.1796875" style="51" customWidth="1"/>
    <col min="1285" max="1285" width="3.1796875" style="51" customWidth="1"/>
    <col min="1286" max="1286" width="15.26953125" style="51" customWidth="1"/>
    <col min="1287" max="1287" width="14.54296875" style="51" customWidth="1"/>
    <col min="1288" max="1288" width="34.54296875" style="51" customWidth="1"/>
    <col min="1289" max="1289" width="15.7265625" style="51" customWidth="1"/>
    <col min="1290" max="1290" width="13.81640625" style="51" bestFit="1" customWidth="1"/>
    <col min="1291" max="1291" width="11.453125" style="51" customWidth="1"/>
    <col min="1292" max="1292" width="22" style="51" bestFit="1" customWidth="1"/>
    <col min="1293" max="1536" width="11.453125" style="51"/>
    <col min="1537" max="1537" width="4.26953125" style="51" customWidth="1"/>
    <col min="1538" max="1538" width="93.54296875" style="51" customWidth="1"/>
    <col min="1539" max="1539" width="16" style="51" customWidth="1"/>
    <col min="1540" max="1540" width="15.1796875" style="51" customWidth="1"/>
    <col min="1541" max="1541" width="3.1796875" style="51" customWidth="1"/>
    <col min="1542" max="1542" width="15.26953125" style="51" customWidth="1"/>
    <col min="1543" max="1543" width="14.54296875" style="51" customWidth="1"/>
    <col min="1544" max="1544" width="34.54296875" style="51" customWidth="1"/>
    <col min="1545" max="1545" width="15.7265625" style="51" customWidth="1"/>
    <col min="1546" max="1546" width="13.81640625" style="51" bestFit="1" customWidth="1"/>
    <col min="1547" max="1547" width="11.453125" style="51" customWidth="1"/>
    <col min="1548" max="1548" width="22" style="51" bestFit="1" customWidth="1"/>
    <col min="1549" max="1792" width="11.453125" style="51"/>
    <col min="1793" max="1793" width="4.26953125" style="51" customWidth="1"/>
    <col min="1794" max="1794" width="93.54296875" style="51" customWidth="1"/>
    <col min="1795" max="1795" width="16" style="51" customWidth="1"/>
    <col min="1796" max="1796" width="15.1796875" style="51" customWidth="1"/>
    <col min="1797" max="1797" width="3.1796875" style="51" customWidth="1"/>
    <col min="1798" max="1798" width="15.26953125" style="51" customWidth="1"/>
    <col min="1799" max="1799" width="14.54296875" style="51" customWidth="1"/>
    <col min="1800" max="1800" width="34.54296875" style="51" customWidth="1"/>
    <col min="1801" max="1801" width="15.7265625" style="51" customWidth="1"/>
    <col min="1802" max="1802" width="13.81640625" style="51" bestFit="1" customWidth="1"/>
    <col min="1803" max="1803" width="11.453125" style="51" customWidth="1"/>
    <col min="1804" max="1804" width="22" style="51" bestFit="1" customWidth="1"/>
    <col min="1805" max="2048" width="11.453125" style="51"/>
    <col min="2049" max="2049" width="4.26953125" style="51" customWidth="1"/>
    <col min="2050" max="2050" width="93.54296875" style="51" customWidth="1"/>
    <col min="2051" max="2051" width="16" style="51" customWidth="1"/>
    <col min="2052" max="2052" width="15.1796875" style="51" customWidth="1"/>
    <col min="2053" max="2053" width="3.1796875" style="51" customWidth="1"/>
    <col min="2054" max="2054" width="15.26953125" style="51" customWidth="1"/>
    <col min="2055" max="2055" width="14.54296875" style="51" customWidth="1"/>
    <col min="2056" max="2056" width="34.54296875" style="51" customWidth="1"/>
    <col min="2057" max="2057" width="15.7265625" style="51" customWidth="1"/>
    <col min="2058" max="2058" width="13.81640625" style="51" bestFit="1" customWidth="1"/>
    <col min="2059" max="2059" width="11.453125" style="51" customWidth="1"/>
    <col min="2060" max="2060" width="22" style="51" bestFit="1" customWidth="1"/>
    <col min="2061" max="2304" width="11.453125" style="51"/>
    <col min="2305" max="2305" width="4.26953125" style="51" customWidth="1"/>
    <col min="2306" max="2306" width="93.54296875" style="51" customWidth="1"/>
    <col min="2307" max="2307" width="16" style="51" customWidth="1"/>
    <col min="2308" max="2308" width="15.1796875" style="51" customWidth="1"/>
    <col min="2309" max="2309" width="3.1796875" style="51" customWidth="1"/>
    <col min="2310" max="2310" width="15.26953125" style="51" customWidth="1"/>
    <col min="2311" max="2311" width="14.54296875" style="51" customWidth="1"/>
    <col min="2312" max="2312" width="34.54296875" style="51" customWidth="1"/>
    <col min="2313" max="2313" width="15.7265625" style="51" customWidth="1"/>
    <col min="2314" max="2314" width="13.81640625" style="51" bestFit="1" customWidth="1"/>
    <col min="2315" max="2315" width="11.453125" style="51" customWidth="1"/>
    <col min="2316" max="2316" width="22" style="51" bestFit="1" customWidth="1"/>
    <col min="2317" max="2560" width="11.453125" style="51"/>
    <col min="2561" max="2561" width="4.26953125" style="51" customWidth="1"/>
    <col min="2562" max="2562" width="93.54296875" style="51" customWidth="1"/>
    <col min="2563" max="2563" width="16" style="51" customWidth="1"/>
    <col min="2564" max="2564" width="15.1796875" style="51" customWidth="1"/>
    <col min="2565" max="2565" width="3.1796875" style="51" customWidth="1"/>
    <col min="2566" max="2566" width="15.26953125" style="51" customWidth="1"/>
    <col min="2567" max="2567" width="14.54296875" style="51" customWidth="1"/>
    <col min="2568" max="2568" width="34.54296875" style="51" customWidth="1"/>
    <col min="2569" max="2569" width="15.7265625" style="51" customWidth="1"/>
    <col min="2570" max="2570" width="13.81640625" style="51" bestFit="1" customWidth="1"/>
    <col min="2571" max="2571" width="11.453125" style="51" customWidth="1"/>
    <col min="2572" max="2572" width="22" style="51" bestFit="1" customWidth="1"/>
    <col min="2573" max="2816" width="11.453125" style="51"/>
    <col min="2817" max="2817" width="4.26953125" style="51" customWidth="1"/>
    <col min="2818" max="2818" width="93.54296875" style="51" customWidth="1"/>
    <col min="2819" max="2819" width="16" style="51" customWidth="1"/>
    <col min="2820" max="2820" width="15.1796875" style="51" customWidth="1"/>
    <col min="2821" max="2821" width="3.1796875" style="51" customWidth="1"/>
    <col min="2822" max="2822" width="15.26953125" style="51" customWidth="1"/>
    <col min="2823" max="2823" width="14.54296875" style="51" customWidth="1"/>
    <col min="2824" max="2824" width="34.54296875" style="51" customWidth="1"/>
    <col min="2825" max="2825" width="15.7265625" style="51" customWidth="1"/>
    <col min="2826" max="2826" width="13.81640625" style="51" bestFit="1" customWidth="1"/>
    <col min="2827" max="2827" width="11.453125" style="51" customWidth="1"/>
    <col min="2828" max="2828" width="22" style="51" bestFit="1" customWidth="1"/>
    <col min="2829" max="3072" width="11.453125" style="51"/>
    <col min="3073" max="3073" width="4.26953125" style="51" customWidth="1"/>
    <col min="3074" max="3074" width="93.54296875" style="51" customWidth="1"/>
    <col min="3075" max="3075" width="16" style="51" customWidth="1"/>
    <col min="3076" max="3076" width="15.1796875" style="51" customWidth="1"/>
    <col min="3077" max="3077" width="3.1796875" style="51" customWidth="1"/>
    <col min="3078" max="3078" width="15.26953125" style="51" customWidth="1"/>
    <col min="3079" max="3079" width="14.54296875" style="51" customWidth="1"/>
    <col min="3080" max="3080" width="34.54296875" style="51" customWidth="1"/>
    <col min="3081" max="3081" width="15.7265625" style="51" customWidth="1"/>
    <col min="3082" max="3082" width="13.81640625" style="51" bestFit="1" customWidth="1"/>
    <col min="3083" max="3083" width="11.453125" style="51" customWidth="1"/>
    <col min="3084" max="3084" width="22" style="51" bestFit="1" customWidth="1"/>
    <col min="3085" max="3328" width="11.453125" style="51"/>
    <col min="3329" max="3329" width="4.26953125" style="51" customWidth="1"/>
    <col min="3330" max="3330" width="93.54296875" style="51" customWidth="1"/>
    <col min="3331" max="3331" width="16" style="51" customWidth="1"/>
    <col min="3332" max="3332" width="15.1796875" style="51" customWidth="1"/>
    <col min="3333" max="3333" width="3.1796875" style="51" customWidth="1"/>
    <col min="3334" max="3334" width="15.26953125" style="51" customWidth="1"/>
    <col min="3335" max="3335" width="14.54296875" style="51" customWidth="1"/>
    <col min="3336" max="3336" width="34.54296875" style="51" customWidth="1"/>
    <col min="3337" max="3337" width="15.7265625" style="51" customWidth="1"/>
    <col min="3338" max="3338" width="13.81640625" style="51" bestFit="1" customWidth="1"/>
    <col min="3339" max="3339" width="11.453125" style="51" customWidth="1"/>
    <col min="3340" max="3340" width="22" style="51" bestFit="1" customWidth="1"/>
    <col min="3341" max="3584" width="11.453125" style="51"/>
    <col min="3585" max="3585" width="4.26953125" style="51" customWidth="1"/>
    <col min="3586" max="3586" width="93.54296875" style="51" customWidth="1"/>
    <col min="3587" max="3587" width="16" style="51" customWidth="1"/>
    <col min="3588" max="3588" width="15.1796875" style="51" customWidth="1"/>
    <col min="3589" max="3589" width="3.1796875" style="51" customWidth="1"/>
    <col min="3590" max="3590" width="15.26953125" style="51" customWidth="1"/>
    <col min="3591" max="3591" width="14.54296875" style="51" customWidth="1"/>
    <col min="3592" max="3592" width="34.54296875" style="51" customWidth="1"/>
    <col min="3593" max="3593" width="15.7265625" style="51" customWidth="1"/>
    <col min="3594" max="3594" width="13.81640625" style="51" bestFit="1" customWidth="1"/>
    <col min="3595" max="3595" width="11.453125" style="51" customWidth="1"/>
    <col min="3596" max="3596" width="22" style="51" bestFit="1" customWidth="1"/>
    <col min="3597" max="3840" width="11.453125" style="51"/>
    <col min="3841" max="3841" width="4.26953125" style="51" customWidth="1"/>
    <col min="3842" max="3842" width="93.54296875" style="51" customWidth="1"/>
    <col min="3843" max="3843" width="16" style="51" customWidth="1"/>
    <col min="3844" max="3844" width="15.1796875" style="51" customWidth="1"/>
    <col min="3845" max="3845" width="3.1796875" style="51" customWidth="1"/>
    <col min="3846" max="3846" width="15.26953125" style="51" customWidth="1"/>
    <col min="3847" max="3847" width="14.54296875" style="51" customWidth="1"/>
    <col min="3848" max="3848" width="34.54296875" style="51" customWidth="1"/>
    <col min="3849" max="3849" width="15.7265625" style="51" customWidth="1"/>
    <col min="3850" max="3850" width="13.81640625" style="51" bestFit="1" customWidth="1"/>
    <col min="3851" max="3851" width="11.453125" style="51" customWidth="1"/>
    <col min="3852" max="3852" width="22" style="51" bestFit="1" customWidth="1"/>
    <col min="3853" max="4096" width="11.453125" style="51"/>
    <col min="4097" max="4097" width="4.26953125" style="51" customWidth="1"/>
    <col min="4098" max="4098" width="93.54296875" style="51" customWidth="1"/>
    <col min="4099" max="4099" width="16" style="51" customWidth="1"/>
    <col min="4100" max="4100" width="15.1796875" style="51" customWidth="1"/>
    <col min="4101" max="4101" width="3.1796875" style="51" customWidth="1"/>
    <col min="4102" max="4102" width="15.26953125" style="51" customWidth="1"/>
    <col min="4103" max="4103" width="14.54296875" style="51" customWidth="1"/>
    <col min="4104" max="4104" width="34.54296875" style="51" customWidth="1"/>
    <col min="4105" max="4105" width="15.7265625" style="51" customWidth="1"/>
    <col min="4106" max="4106" width="13.81640625" style="51" bestFit="1" customWidth="1"/>
    <col min="4107" max="4107" width="11.453125" style="51" customWidth="1"/>
    <col min="4108" max="4108" width="22" style="51" bestFit="1" customWidth="1"/>
    <col min="4109" max="4352" width="11.453125" style="51"/>
    <col min="4353" max="4353" width="4.26953125" style="51" customWidth="1"/>
    <col min="4354" max="4354" width="93.54296875" style="51" customWidth="1"/>
    <col min="4355" max="4355" width="16" style="51" customWidth="1"/>
    <col min="4356" max="4356" width="15.1796875" style="51" customWidth="1"/>
    <col min="4357" max="4357" width="3.1796875" style="51" customWidth="1"/>
    <col min="4358" max="4358" width="15.26953125" style="51" customWidth="1"/>
    <col min="4359" max="4359" width="14.54296875" style="51" customWidth="1"/>
    <col min="4360" max="4360" width="34.54296875" style="51" customWidth="1"/>
    <col min="4361" max="4361" width="15.7265625" style="51" customWidth="1"/>
    <col min="4362" max="4362" width="13.81640625" style="51" bestFit="1" customWidth="1"/>
    <col min="4363" max="4363" width="11.453125" style="51" customWidth="1"/>
    <col min="4364" max="4364" width="22" style="51" bestFit="1" customWidth="1"/>
    <col min="4365" max="4608" width="11.453125" style="51"/>
    <col min="4609" max="4609" width="4.26953125" style="51" customWidth="1"/>
    <col min="4610" max="4610" width="93.54296875" style="51" customWidth="1"/>
    <col min="4611" max="4611" width="16" style="51" customWidth="1"/>
    <col min="4612" max="4612" width="15.1796875" style="51" customWidth="1"/>
    <col min="4613" max="4613" width="3.1796875" style="51" customWidth="1"/>
    <col min="4614" max="4614" width="15.26953125" style="51" customWidth="1"/>
    <col min="4615" max="4615" width="14.54296875" style="51" customWidth="1"/>
    <col min="4616" max="4616" width="34.54296875" style="51" customWidth="1"/>
    <col min="4617" max="4617" width="15.7265625" style="51" customWidth="1"/>
    <col min="4618" max="4618" width="13.81640625" style="51" bestFit="1" customWidth="1"/>
    <col min="4619" max="4619" width="11.453125" style="51" customWidth="1"/>
    <col min="4620" max="4620" width="22" style="51" bestFit="1" customWidth="1"/>
    <col min="4621" max="4864" width="11.453125" style="51"/>
    <col min="4865" max="4865" width="4.26953125" style="51" customWidth="1"/>
    <col min="4866" max="4866" width="93.54296875" style="51" customWidth="1"/>
    <col min="4867" max="4867" width="16" style="51" customWidth="1"/>
    <col min="4868" max="4868" width="15.1796875" style="51" customWidth="1"/>
    <col min="4869" max="4869" width="3.1796875" style="51" customWidth="1"/>
    <col min="4870" max="4870" width="15.26953125" style="51" customWidth="1"/>
    <col min="4871" max="4871" width="14.54296875" style="51" customWidth="1"/>
    <col min="4872" max="4872" width="34.54296875" style="51" customWidth="1"/>
    <col min="4873" max="4873" width="15.7265625" style="51" customWidth="1"/>
    <col min="4874" max="4874" width="13.81640625" style="51" bestFit="1" customWidth="1"/>
    <col min="4875" max="4875" width="11.453125" style="51" customWidth="1"/>
    <col min="4876" max="4876" width="22" style="51" bestFit="1" customWidth="1"/>
    <col min="4877" max="5120" width="11.453125" style="51"/>
    <col min="5121" max="5121" width="4.26953125" style="51" customWidth="1"/>
    <col min="5122" max="5122" width="93.54296875" style="51" customWidth="1"/>
    <col min="5123" max="5123" width="16" style="51" customWidth="1"/>
    <col min="5124" max="5124" width="15.1796875" style="51" customWidth="1"/>
    <col min="5125" max="5125" width="3.1796875" style="51" customWidth="1"/>
    <col min="5126" max="5126" width="15.26953125" style="51" customWidth="1"/>
    <col min="5127" max="5127" width="14.54296875" style="51" customWidth="1"/>
    <col min="5128" max="5128" width="34.54296875" style="51" customWidth="1"/>
    <col min="5129" max="5129" width="15.7265625" style="51" customWidth="1"/>
    <col min="5130" max="5130" width="13.81640625" style="51" bestFit="1" customWidth="1"/>
    <col min="5131" max="5131" width="11.453125" style="51" customWidth="1"/>
    <col min="5132" max="5132" width="22" style="51" bestFit="1" customWidth="1"/>
    <col min="5133" max="5376" width="11.453125" style="51"/>
    <col min="5377" max="5377" width="4.26953125" style="51" customWidth="1"/>
    <col min="5378" max="5378" width="93.54296875" style="51" customWidth="1"/>
    <col min="5379" max="5379" width="16" style="51" customWidth="1"/>
    <col min="5380" max="5380" width="15.1796875" style="51" customWidth="1"/>
    <col min="5381" max="5381" width="3.1796875" style="51" customWidth="1"/>
    <col min="5382" max="5382" width="15.26953125" style="51" customWidth="1"/>
    <col min="5383" max="5383" width="14.54296875" style="51" customWidth="1"/>
    <col min="5384" max="5384" width="34.54296875" style="51" customWidth="1"/>
    <col min="5385" max="5385" width="15.7265625" style="51" customWidth="1"/>
    <col min="5386" max="5386" width="13.81640625" style="51" bestFit="1" customWidth="1"/>
    <col min="5387" max="5387" width="11.453125" style="51" customWidth="1"/>
    <col min="5388" max="5388" width="22" style="51" bestFit="1" customWidth="1"/>
    <col min="5389" max="5632" width="11.453125" style="51"/>
    <col min="5633" max="5633" width="4.26953125" style="51" customWidth="1"/>
    <col min="5634" max="5634" width="93.54296875" style="51" customWidth="1"/>
    <col min="5635" max="5635" width="16" style="51" customWidth="1"/>
    <col min="5636" max="5636" width="15.1796875" style="51" customWidth="1"/>
    <col min="5637" max="5637" width="3.1796875" style="51" customWidth="1"/>
    <col min="5638" max="5638" width="15.26953125" style="51" customWidth="1"/>
    <col min="5639" max="5639" width="14.54296875" style="51" customWidth="1"/>
    <col min="5640" max="5640" width="34.54296875" style="51" customWidth="1"/>
    <col min="5641" max="5641" width="15.7265625" style="51" customWidth="1"/>
    <col min="5642" max="5642" width="13.81640625" style="51" bestFit="1" customWidth="1"/>
    <col min="5643" max="5643" width="11.453125" style="51" customWidth="1"/>
    <col min="5644" max="5644" width="22" style="51" bestFit="1" customWidth="1"/>
    <col min="5645" max="5888" width="11.453125" style="51"/>
    <col min="5889" max="5889" width="4.26953125" style="51" customWidth="1"/>
    <col min="5890" max="5890" width="93.54296875" style="51" customWidth="1"/>
    <col min="5891" max="5891" width="16" style="51" customWidth="1"/>
    <col min="5892" max="5892" width="15.1796875" style="51" customWidth="1"/>
    <col min="5893" max="5893" width="3.1796875" style="51" customWidth="1"/>
    <col min="5894" max="5894" width="15.26953125" style="51" customWidth="1"/>
    <col min="5895" max="5895" width="14.54296875" style="51" customWidth="1"/>
    <col min="5896" max="5896" width="34.54296875" style="51" customWidth="1"/>
    <col min="5897" max="5897" width="15.7265625" style="51" customWidth="1"/>
    <col min="5898" max="5898" width="13.81640625" style="51" bestFit="1" customWidth="1"/>
    <col min="5899" max="5899" width="11.453125" style="51" customWidth="1"/>
    <col min="5900" max="5900" width="22" style="51" bestFit="1" customWidth="1"/>
    <col min="5901" max="6144" width="11.453125" style="51"/>
    <col min="6145" max="6145" width="4.26953125" style="51" customWidth="1"/>
    <col min="6146" max="6146" width="93.54296875" style="51" customWidth="1"/>
    <col min="6147" max="6147" width="16" style="51" customWidth="1"/>
    <col min="6148" max="6148" width="15.1796875" style="51" customWidth="1"/>
    <col min="6149" max="6149" width="3.1796875" style="51" customWidth="1"/>
    <col min="6150" max="6150" width="15.26953125" style="51" customWidth="1"/>
    <col min="6151" max="6151" width="14.54296875" style="51" customWidth="1"/>
    <col min="6152" max="6152" width="34.54296875" style="51" customWidth="1"/>
    <col min="6153" max="6153" width="15.7265625" style="51" customWidth="1"/>
    <col min="6154" max="6154" width="13.81640625" style="51" bestFit="1" customWidth="1"/>
    <col min="6155" max="6155" width="11.453125" style="51" customWidth="1"/>
    <col min="6156" max="6156" width="22" style="51" bestFit="1" customWidth="1"/>
    <col min="6157" max="6400" width="11.453125" style="51"/>
    <col min="6401" max="6401" width="4.26953125" style="51" customWidth="1"/>
    <col min="6402" max="6402" width="93.54296875" style="51" customWidth="1"/>
    <col min="6403" max="6403" width="16" style="51" customWidth="1"/>
    <col min="6404" max="6404" width="15.1796875" style="51" customWidth="1"/>
    <col min="6405" max="6405" width="3.1796875" style="51" customWidth="1"/>
    <col min="6406" max="6406" width="15.26953125" style="51" customWidth="1"/>
    <col min="6407" max="6407" width="14.54296875" style="51" customWidth="1"/>
    <col min="6408" max="6408" width="34.54296875" style="51" customWidth="1"/>
    <col min="6409" max="6409" width="15.7265625" style="51" customWidth="1"/>
    <col min="6410" max="6410" width="13.81640625" style="51" bestFit="1" customWidth="1"/>
    <col min="6411" max="6411" width="11.453125" style="51" customWidth="1"/>
    <col min="6412" max="6412" width="22" style="51" bestFit="1" customWidth="1"/>
    <col min="6413" max="6656" width="11.453125" style="51"/>
    <col min="6657" max="6657" width="4.26953125" style="51" customWidth="1"/>
    <col min="6658" max="6658" width="93.54296875" style="51" customWidth="1"/>
    <col min="6659" max="6659" width="16" style="51" customWidth="1"/>
    <col min="6660" max="6660" width="15.1796875" style="51" customWidth="1"/>
    <col min="6661" max="6661" width="3.1796875" style="51" customWidth="1"/>
    <col min="6662" max="6662" width="15.26953125" style="51" customWidth="1"/>
    <col min="6663" max="6663" width="14.54296875" style="51" customWidth="1"/>
    <col min="6664" max="6664" width="34.54296875" style="51" customWidth="1"/>
    <col min="6665" max="6665" width="15.7265625" style="51" customWidth="1"/>
    <col min="6666" max="6666" width="13.81640625" style="51" bestFit="1" customWidth="1"/>
    <col min="6667" max="6667" width="11.453125" style="51" customWidth="1"/>
    <col min="6668" max="6668" width="22" style="51" bestFit="1" customWidth="1"/>
    <col min="6669" max="6912" width="11.453125" style="51"/>
    <col min="6913" max="6913" width="4.26953125" style="51" customWidth="1"/>
    <col min="6914" max="6914" width="93.54296875" style="51" customWidth="1"/>
    <col min="6915" max="6915" width="16" style="51" customWidth="1"/>
    <col min="6916" max="6916" width="15.1796875" style="51" customWidth="1"/>
    <col min="6917" max="6917" width="3.1796875" style="51" customWidth="1"/>
    <col min="6918" max="6918" width="15.26953125" style="51" customWidth="1"/>
    <col min="6919" max="6919" width="14.54296875" style="51" customWidth="1"/>
    <col min="6920" max="6920" width="34.54296875" style="51" customWidth="1"/>
    <col min="6921" max="6921" width="15.7265625" style="51" customWidth="1"/>
    <col min="6922" max="6922" width="13.81640625" style="51" bestFit="1" customWidth="1"/>
    <col min="6923" max="6923" width="11.453125" style="51" customWidth="1"/>
    <col min="6924" max="6924" width="22" style="51" bestFit="1" customWidth="1"/>
    <col min="6925" max="7168" width="11.453125" style="51"/>
    <col min="7169" max="7169" width="4.26953125" style="51" customWidth="1"/>
    <col min="7170" max="7170" width="93.54296875" style="51" customWidth="1"/>
    <col min="7171" max="7171" width="16" style="51" customWidth="1"/>
    <col min="7172" max="7172" width="15.1796875" style="51" customWidth="1"/>
    <col min="7173" max="7173" width="3.1796875" style="51" customWidth="1"/>
    <col min="7174" max="7174" width="15.26953125" style="51" customWidth="1"/>
    <col min="7175" max="7175" width="14.54296875" style="51" customWidth="1"/>
    <col min="7176" max="7176" width="34.54296875" style="51" customWidth="1"/>
    <col min="7177" max="7177" width="15.7265625" style="51" customWidth="1"/>
    <col min="7178" max="7178" width="13.81640625" style="51" bestFit="1" customWidth="1"/>
    <col min="7179" max="7179" width="11.453125" style="51" customWidth="1"/>
    <col min="7180" max="7180" width="22" style="51" bestFit="1" customWidth="1"/>
    <col min="7181" max="7424" width="11.453125" style="51"/>
    <col min="7425" max="7425" width="4.26953125" style="51" customWidth="1"/>
    <col min="7426" max="7426" width="93.54296875" style="51" customWidth="1"/>
    <col min="7427" max="7427" width="16" style="51" customWidth="1"/>
    <col min="7428" max="7428" width="15.1796875" style="51" customWidth="1"/>
    <col min="7429" max="7429" width="3.1796875" style="51" customWidth="1"/>
    <col min="7430" max="7430" width="15.26953125" style="51" customWidth="1"/>
    <col min="7431" max="7431" width="14.54296875" style="51" customWidth="1"/>
    <col min="7432" max="7432" width="34.54296875" style="51" customWidth="1"/>
    <col min="7433" max="7433" width="15.7265625" style="51" customWidth="1"/>
    <col min="7434" max="7434" width="13.81640625" style="51" bestFit="1" customWidth="1"/>
    <col min="7435" max="7435" width="11.453125" style="51" customWidth="1"/>
    <col min="7436" max="7436" width="22" style="51" bestFit="1" customWidth="1"/>
    <col min="7437" max="7680" width="11.453125" style="51"/>
    <col min="7681" max="7681" width="4.26953125" style="51" customWidth="1"/>
    <col min="7682" max="7682" width="93.54296875" style="51" customWidth="1"/>
    <col min="7683" max="7683" width="16" style="51" customWidth="1"/>
    <col min="7684" max="7684" width="15.1796875" style="51" customWidth="1"/>
    <col min="7685" max="7685" width="3.1796875" style="51" customWidth="1"/>
    <col min="7686" max="7686" width="15.26953125" style="51" customWidth="1"/>
    <col min="7687" max="7687" width="14.54296875" style="51" customWidth="1"/>
    <col min="7688" max="7688" width="34.54296875" style="51" customWidth="1"/>
    <col min="7689" max="7689" width="15.7265625" style="51" customWidth="1"/>
    <col min="7690" max="7690" width="13.81640625" style="51" bestFit="1" customWidth="1"/>
    <col min="7691" max="7691" width="11.453125" style="51" customWidth="1"/>
    <col min="7692" max="7692" width="22" style="51" bestFit="1" customWidth="1"/>
    <col min="7693" max="7936" width="11.453125" style="51"/>
    <col min="7937" max="7937" width="4.26953125" style="51" customWidth="1"/>
    <col min="7938" max="7938" width="93.54296875" style="51" customWidth="1"/>
    <col min="7939" max="7939" width="16" style="51" customWidth="1"/>
    <col min="7940" max="7940" width="15.1796875" style="51" customWidth="1"/>
    <col min="7941" max="7941" width="3.1796875" style="51" customWidth="1"/>
    <col min="7942" max="7942" width="15.26953125" style="51" customWidth="1"/>
    <col min="7943" max="7943" width="14.54296875" style="51" customWidth="1"/>
    <col min="7944" max="7944" width="34.54296875" style="51" customWidth="1"/>
    <col min="7945" max="7945" width="15.7265625" style="51" customWidth="1"/>
    <col min="7946" max="7946" width="13.81640625" style="51" bestFit="1" customWidth="1"/>
    <col min="7947" max="7947" width="11.453125" style="51" customWidth="1"/>
    <col min="7948" max="7948" width="22" style="51" bestFit="1" customWidth="1"/>
    <col min="7949" max="8192" width="11.453125" style="51"/>
    <col min="8193" max="8193" width="4.26953125" style="51" customWidth="1"/>
    <col min="8194" max="8194" width="93.54296875" style="51" customWidth="1"/>
    <col min="8195" max="8195" width="16" style="51" customWidth="1"/>
    <col min="8196" max="8196" width="15.1796875" style="51" customWidth="1"/>
    <col min="8197" max="8197" width="3.1796875" style="51" customWidth="1"/>
    <col min="8198" max="8198" width="15.26953125" style="51" customWidth="1"/>
    <col min="8199" max="8199" width="14.54296875" style="51" customWidth="1"/>
    <col min="8200" max="8200" width="34.54296875" style="51" customWidth="1"/>
    <col min="8201" max="8201" width="15.7265625" style="51" customWidth="1"/>
    <col min="8202" max="8202" width="13.81640625" style="51" bestFit="1" customWidth="1"/>
    <col min="8203" max="8203" width="11.453125" style="51" customWidth="1"/>
    <col min="8204" max="8204" width="22" style="51" bestFit="1" customWidth="1"/>
    <col min="8205" max="8448" width="11.453125" style="51"/>
    <col min="8449" max="8449" width="4.26953125" style="51" customWidth="1"/>
    <col min="8450" max="8450" width="93.54296875" style="51" customWidth="1"/>
    <col min="8451" max="8451" width="16" style="51" customWidth="1"/>
    <col min="8452" max="8452" width="15.1796875" style="51" customWidth="1"/>
    <col min="8453" max="8453" width="3.1796875" style="51" customWidth="1"/>
    <col min="8454" max="8454" width="15.26953125" style="51" customWidth="1"/>
    <col min="8455" max="8455" width="14.54296875" style="51" customWidth="1"/>
    <col min="8456" max="8456" width="34.54296875" style="51" customWidth="1"/>
    <col min="8457" max="8457" width="15.7265625" style="51" customWidth="1"/>
    <col min="8458" max="8458" width="13.81640625" style="51" bestFit="1" customWidth="1"/>
    <col min="8459" max="8459" width="11.453125" style="51" customWidth="1"/>
    <col min="8460" max="8460" width="22" style="51" bestFit="1" customWidth="1"/>
    <col min="8461" max="8704" width="11.453125" style="51"/>
    <col min="8705" max="8705" width="4.26953125" style="51" customWidth="1"/>
    <col min="8706" max="8706" width="93.54296875" style="51" customWidth="1"/>
    <col min="8707" max="8707" width="16" style="51" customWidth="1"/>
    <col min="8708" max="8708" width="15.1796875" style="51" customWidth="1"/>
    <col min="8709" max="8709" width="3.1796875" style="51" customWidth="1"/>
    <col min="8710" max="8710" width="15.26953125" style="51" customWidth="1"/>
    <col min="8711" max="8711" width="14.54296875" style="51" customWidth="1"/>
    <col min="8712" max="8712" width="34.54296875" style="51" customWidth="1"/>
    <col min="8713" max="8713" width="15.7265625" style="51" customWidth="1"/>
    <col min="8714" max="8714" width="13.81640625" style="51" bestFit="1" customWidth="1"/>
    <col min="8715" max="8715" width="11.453125" style="51" customWidth="1"/>
    <col min="8716" max="8716" width="22" style="51" bestFit="1" customWidth="1"/>
    <col min="8717" max="8960" width="11.453125" style="51"/>
    <col min="8961" max="8961" width="4.26953125" style="51" customWidth="1"/>
    <col min="8962" max="8962" width="93.54296875" style="51" customWidth="1"/>
    <col min="8963" max="8963" width="16" style="51" customWidth="1"/>
    <col min="8964" max="8964" width="15.1796875" style="51" customWidth="1"/>
    <col min="8965" max="8965" width="3.1796875" style="51" customWidth="1"/>
    <col min="8966" max="8966" width="15.26953125" style="51" customWidth="1"/>
    <col min="8967" max="8967" width="14.54296875" style="51" customWidth="1"/>
    <col min="8968" max="8968" width="34.54296875" style="51" customWidth="1"/>
    <col min="8969" max="8969" width="15.7265625" style="51" customWidth="1"/>
    <col min="8970" max="8970" width="13.81640625" style="51" bestFit="1" customWidth="1"/>
    <col min="8971" max="8971" width="11.453125" style="51" customWidth="1"/>
    <col min="8972" max="8972" width="22" style="51" bestFit="1" customWidth="1"/>
    <col min="8973" max="9216" width="11.453125" style="51"/>
    <col min="9217" max="9217" width="4.26953125" style="51" customWidth="1"/>
    <col min="9218" max="9218" width="93.54296875" style="51" customWidth="1"/>
    <col min="9219" max="9219" width="16" style="51" customWidth="1"/>
    <col min="9220" max="9220" width="15.1796875" style="51" customWidth="1"/>
    <col min="9221" max="9221" width="3.1796875" style="51" customWidth="1"/>
    <col min="9222" max="9222" width="15.26953125" style="51" customWidth="1"/>
    <col min="9223" max="9223" width="14.54296875" style="51" customWidth="1"/>
    <col min="9224" max="9224" width="34.54296875" style="51" customWidth="1"/>
    <col min="9225" max="9225" width="15.7265625" style="51" customWidth="1"/>
    <col min="9226" max="9226" width="13.81640625" style="51" bestFit="1" customWidth="1"/>
    <col min="9227" max="9227" width="11.453125" style="51" customWidth="1"/>
    <col min="9228" max="9228" width="22" style="51" bestFit="1" customWidth="1"/>
    <col min="9229" max="9472" width="11.453125" style="51"/>
    <col min="9473" max="9473" width="4.26953125" style="51" customWidth="1"/>
    <col min="9474" max="9474" width="93.54296875" style="51" customWidth="1"/>
    <col min="9475" max="9475" width="16" style="51" customWidth="1"/>
    <col min="9476" max="9476" width="15.1796875" style="51" customWidth="1"/>
    <col min="9477" max="9477" width="3.1796875" style="51" customWidth="1"/>
    <col min="9478" max="9478" width="15.26953125" style="51" customWidth="1"/>
    <col min="9479" max="9479" width="14.54296875" style="51" customWidth="1"/>
    <col min="9480" max="9480" width="34.54296875" style="51" customWidth="1"/>
    <col min="9481" max="9481" width="15.7265625" style="51" customWidth="1"/>
    <col min="9482" max="9482" width="13.81640625" style="51" bestFit="1" customWidth="1"/>
    <col min="9483" max="9483" width="11.453125" style="51" customWidth="1"/>
    <col min="9484" max="9484" width="22" style="51" bestFit="1" customWidth="1"/>
    <col min="9485" max="9728" width="11.453125" style="51"/>
    <col min="9729" max="9729" width="4.26953125" style="51" customWidth="1"/>
    <col min="9730" max="9730" width="93.54296875" style="51" customWidth="1"/>
    <col min="9731" max="9731" width="16" style="51" customWidth="1"/>
    <col min="9732" max="9732" width="15.1796875" style="51" customWidth="1"/>
    <col min="9733" max="9733" width="3.1796875" style="51" customWidth="1"/>
    <col min="9734" max="9734" width="15.26953125" style="51" customWidth="1"/>
    <col min="9735" max="9735" width="14.54296875" style="51" customWidth="1"/>
    <col min="9736" max="9736" width="34.54296875" style="51" customWidth="1"/>
    <col min="9737" max="9737" width="15.7265625" style="51" customWidth="1"/>
    <col min="9738" max="9738" width="13.81640625" style="51" bestFit="1" customWidth="1"/>
    <col min="9739" max="9739" width="11.453125" style="51" customWidth="1"/>
    <col min="9740" max="9740" width="22" style="51" bestFit="1" customWidth="1"/>
    <col min="9741" max="9984" width="11.453125" style="51"/>
    <col min="9985" max="9985" width="4.26953125" style="51" customWidth="1"/>
    <col min="9986" max="9986" width="93.54296875" style="51" customWidth="1"/>
    <col min="9987" max="9987" width="16" style="51" customWidth="1"/>
    <col min="9988" max="9988" width="15.1796875" style="51" customWidth="1"/>
    <col min="9989" max="9989" width="3.1796875" style="51" customWidth="1"/>
    <col min="9990" max="9990" width="15.26953125" style="51" customWidth="1"/>
    <col min="9991" max="9991" width="14.54296875" style="51" customWidth="1"/>
    <col min="9992" max="9992" width="34.54296875" style="51" customWidth="1"/>
    <col min="9993" max="9993" width="15.7265625" style="51" customWidth="1"/>
    <col min="9994" max="9994" width="13.81640625" style="51" bestFit="1" customWidth="1"/>
    <col min="9995" max="9995" width="11.453125" style="51" customWidth="1"/>
    <col min="9996" max="9996" width="22" style="51" bestFit="1" customWidth="1"/>
    <col min="9997" max="10240" width="11.453125" style="51"/>
    <col min="10241" max="10241" width="4.26953125" style="51" customWidth="1"/>
    <col min="10242" max="10242" width="93.54296875" style="51" customWidth="1"/>
    <col min="10243" max="10243" width="16" style="51" customWidth="1"/>
    <col min="10244" max="10244" width="15.1796875" style="51" customWidth="1"/>
    <col min="10245" max="10245" width="3.1796875" style="51" customWidth="1"/>
    <col min="10246" max="10246" width="15.26953125" style="51" customWidth="1"/>
    <col min="10247" max="10247" width="14.54296875" style="51" customWidth="1"/>
    <col min="10248" max="10248" width="34.54296875" style="51" customWidth="1"/>
    <col min="10249" max="10249" width="15.7265625" style="51" customWidth="1"/>
    <col min="10250" max="10250" width="13.81640625" style="51" bestFit="1" customWidth="1"/>
    <col min="10251" max="10251" width="11.453125" style="51" customWidth="1"/>
    <col min="10252" max="10252" width="22" style="51" bestFit="1" customWidth="1"/>
    <col min="10253" max="10496" width="11.453125" style="51"/>
    <col min="10497" max="10497" width="4.26953125" style="51" customWidth="1"/>
    <col min="10498" max="10498" width="93.54296875" style="51" customWidth="1"/>
    <col min="10499" max="10499" width="16" style="51" customWidth="1"/>
    <col min="10500" max="10500" width="15.1796875" style="51" customWidth="1"/>
    <col min="10501" max="10501" width="3.1796875" style="51" customWidth="1"/>
    <col min="10502" max="10502" width="15.26953125" style="51" customWidth="1"/>
    <col min="10503" max="10503" width="14.54296875" style="51" customWidth="1"/>
    <col min="10504" max="10504" width="34.54296875" style="51" customWidth="1"/>
    <col min="10505" max="10505" width="15.7265625" style="51" customWidth="1"/>
    <col min="10506" max="10506" width="13.81640625" style="51" bestFit="1" customWidth="1"/>
    <col min="10507" max="10507" width="11.453125" style="51" customWidth="1"/>
    <col min="10508" max="10508" width="22" style="51" bestFit="1" customWidth="1"/>
    <col min="10509" max="10752" width="11.453125" style="51"/>
    <col min="10753" max="10753" width="4.26953125" style="51" customWidth="1"/>
    <col min="10754" max="10754" width="93.54296875" style="51" customWidth="1"/>
    <col min="10755" max="10755" width="16" style="51" customWidth="1"/>
    <col min="10756" max="10756" width="15.1796875" style="51" customWidth="1"/>
    <col min="10757" max="10757" width="3.1796875" style="51" customWidth="1"/>
    <col min="10758" max="10758" width="15.26953125" style="51" customWidth="1"/>
    <col min="10759" max="10759" width="14.54296875" style="51" customWidth="1"/>
    <col min="10760" max="10760" width="34.54296875" style="51" customWidth="1"/>
    <col min="10761" max="10761" width="15.7265625" style="51" customWidth="1"/>
    <col min="10762" max="10762" width="13.81640625" style="51" bestFit="1" customWidth="1"/>
    <col min="10763" max="10763" width="11.453125" style="51" customWidth="1"/>
    <col min="10764" max="10764" width="22" style="51" bestFit="1" customWidth="1"/>
    <col min="10765" max="11008" width="11.453125" style="51"/>
    <col min="11009" max="11009" width="4.26953125" style="51" customWidth="1"/>
    <col min="11010" max="11010" width="93.54296875" style="51" customWidth="1"/>
    <col min="11011" max="11011" width="16" style="51" customWidth="1"/>
    <col min="11012" max="11012" width="15.1796875" style="51" customWidth="1"/>
    <col min="11013" max="11013" width="3.1796875" style="51" customWidth="1"/>
    <col min="11014" max="11014" width="15.26953125" style="51" customWidth="1"/>
    <col min="11015" max="11015" width="14.54296875" style="51" customWidth="1"/>
    <col min="11016" max="11016" width="34.54296875" style="51" customWidth="1"/>
    <col min="11017" max="11017" width="15.7265625" style="51" customWidth="1"/>
    <col min="11018" max="11018" width="13.81640625" style="51" bestFit="1" customWidth="1"/>
    <col min="11019" max="11019" width="11.453125" style="51" customWidth="1"/>
    <col min="11020" max="11020" width="22" style="51" bestFit="1" customWidth="1"/>
    <col min="11021" max="11264" width="11.453125" style="51"/>
    <col min="11265" max="11265" width="4.26953125" style="51" customWidth="1"/>
    <col min="11266" max="11266" width="93.54296875" style="51" customWidth="1"/>
    <col min="11267" max="11267" width="16" style="51" customWidth="1"/>
    <col min="11268" max="11268" width="15.1796875" style="51" customWidth="1"/>
    <col min="11269" max="11269" width="3.1796875" style="51" customWidth="1"/>
    <col min="11270" max="11270" width="15.26953125" style="51" customWidth="1"/>
    <col min="11271" max="11271" width="14.54296875" style="51" customWidth="1"/>
    <col min="11272" max="11272" width="34.54296875" style="51" customWidth="1"/>
    <col min="11273" max="11273" width="15.7265625" style="51" customWidth="1"/>
    <col min="11274" max="11274" width="13.81640625" style="51" bestFit="1" customWidth="1"/>
    <col min="11275" max="11275" width="11.453125" style="51" customWidth="1"/>
    <col min="11276" max="11276" width="22" style="51" bestFit="1" customWidth="1"/>
    <col min="11277" max="11520" width="11.453125" style="51"/>
    <col min="11521" max="11521" width="4.26953125" style="51" customWidth="1"/>
    <col min="11522" max="11522" width="93.54296875" style="51" customWidth="1"/>
    <col min="11523" max="11523" width="16" style="51" customWidth="1"/>
    <col min="11524" max="11524" width="15.1796875" style="51" customWidth="1"/>
    <col min="11525" max="11525" width="3.1796875" style="51" customWidth="1"/>
    <col min="11526" max="11526" width="15.26953125" style="51" customWidth="1"/>
    <col min="11527" max="11527" width="14.54296875" style="51" customWidth="1"/>
    <col min="11528" max="11528" width="34.54296875" style="51" customWidth="1"/>
    <col min="11529" max="11529" width="15.7265625" style="51" customWidth="1"/>
    <col min="11530" max="11530" width="13.81640625" style="51" bestFit="1" customWidth="1"/>
    <col min="11531" max="11531" width="11.453125" style="51" customWidth="1"/>
    <col min="11532" max="11532" width="22" style="51" bestFit="1" customWidth="1"/>
    <col min="11533" max="11776" width="11.453125" style="51"/>
    <col min="11777" max="11777" width="4.26953125" style="51" customWidth="1"/>
    <col min="11778" max="11778" width="93.54296875" style="51" customWidth="1"/>
    <col min="11779" max="11779" width="16" style="51" customWidth="1"/>
    <col min="11780" max="11780" width="15.1796875" style="51" customWidth="1"/>
    <col min="11781" max="11781" width="3.1796875" style="51" customWidth="1"/>
    <col min="11782" max="11782" width="15.26953125" style="51" customWidth="1"/>
    <col min="11783" max="11783" width="14.54296875" style="51" customWidth="1"/>
    <col min="11784" max="11784" width="34.54296875" style="51" customWidth="1"/>
    <col min="11785" max="11785" width="15.7265625" style="51" customWidth="1"/>
    <col min="11786" max="11786" width="13.81640625" style="51" bestFit="1" customWidth="1"/>
    <col min="11787" max="11787" width="11.453125" style="51" customWidth="1"/>
    <col min="11788" max="11788" width="22" style="51" bestFit="1" customWidth="1"/>
    <col min="11789" max="12032" width="11.453125" style="51"/>
    <col min="12033" max="12033" width="4.26953125" style="51" customWidth="1"/>
    <col min="12034" max="12034" width="93.54296875" style="51" customWidth="1"/>
    <col min="12035" max="12035" width="16" style="51" customWidth="1"/>
    <col min="12036" max="12036" width="15.1796875" style="51" customWidth="1"/>
    <col min="12037" max="12037" width="3.1796875" style="51" customWidth="1"/>
    <col min="12038" max="12038" width="15.26953125" style="51" customWidth="1"/>
    <col min="12039" max="12039" width="14.54296875" style="51" customWidth="1"/>
    <col min="12040" max="12040" width="34.54296875" style="51" customWidth="1"/>
    <col min="12041" max="12041" width="15.7265625" style="51" customWidth="1"/>
    <col min="12042" max="12042" width="13.81640625" style="51" bestFit="1" customWidth="1"/>
    <col min="12043" max="12043" width="11.453125" style="51" customWidth="1"/>
    <col min="12044" max="12044" width="22" style="51" bestFit="1" customWidth="1"/>
    <col min="12045" max="12288" width="11.453125" style="51"/>
    <col min="12289" max="12289" width="4.26953125" style="51" customWidth="1"/>
    <col min="12290" max="12290" width="93.54296875" style="51" customWidth="1"/>
    <col min="12291" max="12291" width="16" style="51" customWidth="1"/>
    <col min="12292" max="12292" width="15.1796875" style="51" customWidth="1"/>
    <col min="12293" max="12293" width="3.1796875" style="51" customWidth="1"/>
    <col min="12294" max="12294" width="15.26953125" style="51" customWidth="1"/>
    <col min="12295" max="12295" width="14.54296875" style="51" customWidth="1"/>
    <col min="12296" max="12296" width="34.54296875" style="51" customWidth="1"/>
    <col min="12297" max="12297" width="15.7265625" style="51" customWidth="1"/>
    <col min="12298" max="12298" width="13.81640625" style="51" bestFit="1" customWidth="1"/>
    <col min="12299" max="12299" width="11.453125" style="51" customWidth="1"/>
    <col min="12300" max="12300" width="22" style="51" bestFit="1" customWidth="1"/>
    <col min="12301" max="12544" width="11.453125" style="51"/>
    <col min="12545" max="12545" width="4.26953125" style="51" customWidth="1"/>
    <col min="12546" max="12546" width="93.54296875" style="51" customWidth="1"/>
    <col min="12547" max="12547" width="16" style="51" customWidth="1"/>
    <col min="12548" max="12548" width="15.1796875" style="51" customWidth="1"/>
    <col min="12549" max="12549" width="3.1796875" style="51" customWidth="1"/>
    <col min="12550" max="12550" width="15.26953125" style="51" customWidth="1"/>
    <col min="12551" max="12551" width="14.54296875" style="51" customWidth="1"/>
    <col min="12552" max="12552" width="34.54296875" style="51" customWidth="1"/>
    <col min="12553" max="12553" width="15.7265625" style="51" customWidth="1"/>
    <col min="12554" max="12554" width="13.81640625" style="51" bestFit="1" customWidth="1"/>
    <col min="12555" max="12555" width="11.453125" style="51" customWidth="1"/>
    <col min="12556" max="12556" width="22" style="51" bestFit="1" customWidth="1"/>
    <col min="12557" max="12800" width="11.453125" style="51"/>
    <col min="12801" max="12801" width="4.26953125" style="51" customWidth="1"/>
    <col min="12802" max="12802" width="93.54296875" style="51" customWidth="1"/>
    <col min="12803" max="12803" width="16" style="51" customWidth="1"/>
    <col min="12804" max="12804" width="15.1796875" style="51" customWidth="1"/>
    <col min="12805" max="12805" width="3.1796875" style="51" customWidth="1"/>
    <col min="12806" max="12806" width="15.26953125" style="51" customWidth="1"/>
    <col min="12807" max="12807" width="14.54296875" style="51" customWidth="1"/>
    <col min="12808" max="12808" width="34.54296875" style="51" customWidth="1"/>
    <col min="12809" max="12809" width="15.7265625" style="51" customWidth="1"/>
    <col min="12810" max="12810" width="13.81640625" style="51" bestFit="1" customWidth="1"/>
    <col min="12811" max="12811" width="11.453125" style="51" customWidth="1"/>
    <col min="12812" max="12812" width="22" style="51" bestFit="1" customWidth="1"/>
    <col min="12813" max="13056" width="11.453125" style="51"/>
    <col min="13057" max="13057" width="4.26953125" style="51" customWidth="1"/>
    <col min="13058" max="13058" width="93.54296875" style="51" customWidth="1"/>
    <col min="13059" max="13059" width="16" style="51" customWidth="1"/>
    <col min="13060" max="13060" width="15.1796875" style="51" customWidth="1"/>
    <col min="13061" max="13061" width="3.1796875" style="51" customWidth="1"/>
    <col min="13062" max="13062" width="15.26953125" style="51" customWidth="1"/>
    <col min="13063" max="13063" width="14.54296875" style="51" customWidth="1"/>
    <col min="13064" max="13064" width="34.54296875" style="51" customWidth="1"/>
    <col min="13065" max="13065" width="15.7265625" style="51" customWidth="1"/>
    <col min="13066" max="13066" width="13.81640625" style="51" bestFit="1" customWidth="1"/>
    <col min="13067" max="13067" width="11.453125" style="51" customWidth="1"/>
    <col min="13068" max="13068" width="22" style="51" bestFit="1" customWidth="1"/>
    <col min="13069" max="13312" width="11.453125" style="51"/>
    <col min="13313" max="13313" width="4.26953125" style="51" customWidth="1"/>
    <col min="13314" max="13314" width="93.54296875" style="51" customWidth="1"/>
    <col min="13315" max="13315" width="16" style="51" customWidth="1"/>
    <col min="13316" max="13316" width="15.1796875" style="51" customWidth="1"/>
    <col min="13317" max="13317" width="3.1796875" style="51" customWidth="1"/>
    <col min="13318" max="13318" width="15.26953125" style="51" customWidth="1"/>
    <col min="13319" max="13319" width="14.54296875" style="51" customWidth="1"/>
    <col min="13320" max="13320" width="34.54296875" style="51" customWidth="1"/>
    <col min="13321" max="13321" width="15.7265625" style="51" customWidth="1"/>
    <col min="13322" max="13322" width="13.81640625" style="51" bestFit="1" customWidth="1"/>
    <col min="13323" max="13323" width="11.453125" style="51" customWidth="1"/>
    <col min="13324" max="13324" width="22" style="51" bestFit="1" customWidth="1"/>
    <col min="13325" max="13568" width="11.453125" style="51"/>
    <col min="13569" max="13569" width="4.26953125" style="51" customWidth="1"/>
    <col min="13570" max="13570" width="93.54296875" style="51" customWidth="1"/>
    <col min="13571" max="13571" width="16" style="51" customWidth="1"/>
    <col min="13572" max="13572" width="15.1796875" style="51" customWidth="1"/>
    <col min="13573" max="13573" width="3.1796875" style="51" customWidth="1"/>
    <col min="13574" max="13574" width="15.26953125" style="51" customWidth="1"/>
    <col min="13575" max="13575" width="14.54296875" style="51" customWidth="1"/>
    <col min="13576" max="13576" width="34.54296875" style="51" customWidth="1"/>
    <col min="13577" max="13577" width="15.7265625" style="51" customWidth="1"/>
    <col min="13578" max="13578" width="13.81640625" style="51" bestFit="1" customWidth="1"/>
    <col min="13579" max="13579" width="11.453125" style="51" customWidth="1"/>
    <col min="13580" max="13580" width="22" style="51" bestFit="1" customWidth="1"/>
    <col min="13581" max="13824" width="11.453125" style="51"/>
    <col min="13825" max="13825" width="4.26953125" style="51" customWidth="1"/>
    <col min="13826" max="13826" width="93.54296875" style="51" customWidth="1"/>
    <col min="13827" max="13827" width="16" style="51" customWidth="1"/>
    <col min="13828" max="13828" width="15.1796875" style="51" customWidth="1"/>
    <col min="13829" max="13829" width="3.1796875" style="51" customWidth="1"/>
    <col min="13830" max="13830" width="15.26953125" style="51" customWidth="1"/>
    <col min="13831" max="13831" width="14.54296875" style="51" customWidth="1"/>
    <col min="13832" max="13832" width="34.54296875" style="51" customWidth="1"/>
    <col min="13833" max="13833" width="15.7265625" style="51" customWidth="1"/>
    <col min="13834" max="13834" width="13.81640625" style="51" bestFit="1" customWidth="1"/>
    <col min="13835" max="13835" width="11.453125" style="51" customWidth="1"/>
    <col min="13836" max="13836" width="22" style="51" bestFit="1" customWidth="1"/>
    <col min="13837" max="14080" width="11.453125" style="51"/>
    <col min="14081" max="14081" width="4.26953125" style="51" customWidth="1"/>
    <col min="14082" max="14082" width="93.54296875" style="51" customWidth="1"/>
    <col min="14083" max="14083" width="16" style="51" customWidth="1"/>
    <col min="14084" max="14084" width="15.1796875" style="51" customWidth="1"/>
    <col min="14085" max="14085" width="3.1796875" style="51" customWidth="1"/>
    <col min="14086" max="14086" width="15.26953125" style="51" customWidth="1"/>
    <col min="14087" max="14087" width="14.54296875" style="51" customWidth="1"/>
    <col min="14088" max="14088" width="34.54296875" style="51" customWidth="1"/>
    <col min="14089" max="14089" width="15.7265625" style="51" customWidth="1"/>
    <col min="14090" max="14090" width="13.81640625" style="51" bestFit="1" customWidth="1"/>
    <col min="14091" max="14091" width="11.453125" style="51" customWidth="1"/>
    <col min="14092" max="14092" width="22" style="51" bestFit="1" customWidth="1"/>
    <col min="14093" max="14336" width="11.453125" style="51"/>
    <col min="14337" max="14337" width="4.26953125" style="51" customWidth="1"/>
    <col min="14338" max="14338" width="93.54296875" style="51" customWidth="1"/>
    <col min="14339" max="14339" width="16" style="51" customWidth="1"/>
    <col min="14340" max="14340" width="15.1796875" style="51" customWidth="1"/>
    <col min="14341" max="14341" width="3.1796875" style="51" customWidth="1"/>
    <col min="14342" max="14342" width="15.26953125" style="51" customWidth="1"/>
    <col min="14343" max="14343" width="14.54296875" style="51" customWidth="1"/>
    <col min="14344" max="14344" width="34.54296875" style="51" customWidth="1"/>
    <col min="14345" max="14345" width="15.7265625" style="51" customWidth="1"/>
    <col min="14346" max="14346" width="13.81640625" style="51" bestFit="1" customWidth="1"/>
    <col min="14347" max="14347" width="11.453125" style="51" customWidth="1"/>
    <col min="14348" max="14348" width="22" style="51" bestFit="1" customWidth="1"/>
    <col min="14349" max="14592" width="11.453125" style="51"/>
    <col min="14593" max="14593" width="4.26953125" style="51" customWidth="1"/>
    <col min="14594" max="14594" width="93.54296875" style="51" customWidth="1"/>
    <col min="14595" max="14595" width="16" style="51" customWidth="1"/>
    <col min="14596" max="14596" width="15.1796875" style="51" customWidth="1"/>
    <col min="14597" max="14597" width="3.1796875" style="51" customWidth="1"/>
    <col min="14598" max="14598" width="15.26953125" style="51" customWidth="1"/>
    <col min="14599" max="14599" width="14.54296875" style="51" customWidth="1"/>
    <col min="14600" max="14600" width="34.54296875" style="51" customWidth="1"/>
    <col min="14601" max="14601" width="15.7265625" style="51" customWidth="1"/>
    <col min="14602" max="14602" width="13.81640625" style="51" bestFit="1" customWidth="1"/>
    <col min="14603" max="14603" width="11.453125" style="51" customWidth="1"/>
    <col min="14604" max="14604" width="22" style="51" bestFit="1" customWidth="1"/>
    <col min="14605" max="14848" width="11.453125" style="51"/>
    <col min="14849" max="14849" width="4.26953125" style="51" customWidth="1"/>
    <col min="14850" max="14850" width="93.54296875" style="51" customWidth="1"/>
    <col min="14851" max="14851" width="16" style="51" customWidth="1"/>
    <col min="14852" max="14852" width="15.1796875" style="51" customWidth="1"/>
    <col min="14853" max="14853" width="3.1796875" style="51" customWidth="1"/>
    <col min="14854" max="14854" width="15.26953125" style="51" customWidth="1"/>
    <col min="14855" max="14855" width="14.54296875" style="51" customWidth="1"/>
    <col min="14856" max="14856" width="34.54296875" style="51" customWidth="1"/>
    <col min="14857" max="14857" width="15.7265625" style="51" customWidth="1"/>
    <col min="14858" max="14858" width="13.81640625" style="51" bestFit="1" customWidth="1"/>
    <col min="14859" max="14859" width="11.453125" style="51" customWidth="1"/>
    <col min="14860" max="14860" width="22" style="51" bestFit="1" customWidth="1"/>
    <col min="14861" max="15104" width="11.453125" style="51"/>
    <col min="15105" max="15105" width="4.26953125" style="51" customWidth="1"/>
    <col min="15106" max="15106" width="93.54296875" style="51" customWidth="1"/>
    <col min="15107" max="15107" width="16" style="51" customWidth="1"/>
    <col min="15108" max="15108" width="15.1796875" style="51" customWidth="1"/>
    <col min="15109" max="15109" width="3.1796875" style="51" customWidth="1"/>
    <col min="15110" max="15110" width="15.26953125" style="51" customWidth="1"/>
    <col min="15111" max="15111" width="14.54296875" style="51" customWidth="1"/>
    <col min="15112" max="15112" width="34.54296875" style="51" customWidth="1"/>
    <col min="15113" max="15113" width="15.7265625" style="51" customWidth="1"/>
    <col min="15114" max="15114" width="13.81640625" style="51" bestFit="1" customWidth="1"/>
    <col min="15115" max="15115" width="11.453125" style="51" customWidth="1"/>
    <col min="15116" max="15116" width="22" style="51" bestFit="1" customWidth="1"/>
    <col min="15117" max="15360" width="11.453125" style="51"/>
    <col min="15361" max="15361" width="4.26953125" style="51" customWidth="1"/>
    <col min="15362" max="15362" width="93.54296875" style="51" customWidth="1"/>
    <col min="15363" max="15363" width="16" style="51" customWidth="1"/>
    <col min="15364" max="15364" width="15.1796875" style="51" customWidth="1"/>
    <col min="15365" max="15365" width="3.1796875" style="51" customWidth="1"/>
    <col min="15366" max="15366" width="15.26953125" style="51" customWidth="1"/>
    <col min="15367" max="15367" width="14.54296875" style="51" customWidth="1"/>
    <col min="15368" max="15368" width="34.54296875" style="51" customWidth="1"/>
    <col min="15369" max="15369" width="15.7265625" style="51" customWidth="1"/>
    <col min="15370" max="15370" width="13.81640625" style="51" bestFit="1" customWidth="1"/>
    <col min="15371" max="15371" width="11.453125" style="51" customWidth="1"/>
    <col min="15372" max="15372" width="22" style="51" bestFit="1" customWidth="1"/>
    <col min="15373" max="15616" width="11.453125" style="51"/>
    <col min="15617" max="15617" width="4.26953125" style="51" customWidth="1"/>
    <col min="15618" max="15618" width="93.54296875" style="51" customWidth="1"/>
    <col min="15619" max="15619" width="16" style="51" customWidth="1"/>
    <col min="15620" max="15620" width="15.1796875" style="51" customWidth="1"/>
    <col min="15621" max="15621" width="3.1796875" style="51" customWidth="1"/>
    <col min="15622" max="15622" width="15.26953125" style="51" customWidth="1"/>
    <col min="15623" max="15623" width="14.54296875" style="51" customWidth="1"/>
    <col min="15624" max="15624" width="34.54296875" style="51" customWidth="1"/>
    <col min="15625" max="15625" width="15.7265625" style="51" customWidth="1"/>
    <col min="15626" max="15626" width="13.81640625" style="51" bestFit="1" customWidth="1"/>
    <col min="15627" max="15627" width="11.453125" style="51" customWidth="1"/>
    <col min="15628" max="15628" width="22" style="51" bestFit="1" customWidth="1"/>
    <col min="15629" max="15872" width="11.453125" style="51"/>
    <col min="15873" max="15873" width="4.26953125" style="51" customWidth="1"/>
    <col min="15874" max="15874" width="93.54296875" style="51" customWidth="1"/>
    <col min="15875" max="15875" width="16" style="51" customWidth="1"/>
    <col min="15876" max="15876" width="15.1796875" style="51" customWidth="1"/>
    <col min="15877" max="15877" width="3.1796875" style="51" customWidth="1"/>
    <col min="15878" max="15878" width="15.26953125" style="51" customWidth="1"/>
    <col min="15879" max="15879" width="14.54296875" style="51" customWidth="1"/>
    <col min="15880" max="15880" width="34.54296875" style="51" customWidth="1"/>
    <col min="15881" max="15881" width="15.7265625" style="51" customWidth="1"/>
    <col min="15882" max="15882" width="13.81640625" style="51" bestFit="1" customWidth="1"/>
    <col min="15883" max="15883" width="11.453125" style="51" customWidth="1"/>
    <col min="15884" max="15884" width="22" style="51" bestFit="1" customWidth="1"/>
    <col min="15885" max="16128" width="11.453125" style="51"/>
    <col min="16129" max="16129" width="4.26953125" style="51" customWidth="1"/>
    <col min="16130" max="16130" width="93.54296875" style="51" customWidth="1"/>
    <col min="16131" max="16131" width="16" style="51" customWidth="1"/>
    <col min="16132" max="16132" width="15.1796875" style="51" customWidth="1"/>
    <col min="16133" max="16133" width="3.1796875" style="51" customWidth="1"/>
    <col min="16134" max="16134" width="15.26953125" style="51" customWidth="1"/>
    <col min="16135" max="16135" width="14.54296875" style="51" customWidth="1"/>
    <col min="16136" max="16136" width="34.54296875" style="51" customWidth="1"/>
    <col min="16137" max="16137" width="15.7265625" style="51" customWidth="1"/>
    <col min="16138" max="16138" width="13.81640625" style="51" bestFit="1" customWidth="1"/>
    <col min="16139" max="16139" width="11.453125" style="51" customWidth="1"/>
    <col min="16140" max="16140" width="22" style="51" bestFit="1" customWidth="1"/>
    <col min="16141" max="16384" width="11.453125" style="51"/>
  </cols>
  <sheetData>
    <row r="1" spans="1:12" ht="30.75" customHeight="1" x14ac:dyDescent="0.55000000000000004">
      <c r="B1" s="823" t="s">
        <v>84</v>
      </c>
      <c r="C1" s="823"/>
      <c r="D1" s="823"/>
      <c r="E1" s="823"/>
      <c r="F1" s="823"/>
      <c r="G1" s="823"/>
      <c r="H1" s="48"/>
      <c r="I1" s="49"/>
      <c r="J1" s="50">
        <v>2013</v>
      </c>
      <c r="K1" s="50">
        <v>2014</v>
      </c>
      <c r="L1" s="50">
        <v>2015</v>
      </c>
    </row>
    <row r="2" spans="1:12" ht="54.75" customHeight="1" x14ac:dyDescent="0.3">
      <c r="B2" s="824" t="s">
        <v>230</v>
      </c>
      <c r="C2" s="824"/>
      <c r="D2" s="824"/>
      <c r="E2" s="824"/>
      <c r="F2" s="824"/>
      <c r="G2" s="824"/>
      <c r="H2" s="52"/>
    </row>
    <row r="3" spans="1:12" ht="3" customHeight="1" x14ac:dyDescent="0.3">
      <c r="A3" s="53"/>
      <c r="B3" s="54" t="s">
        <v>86</v>
      </c>
      <c r="C3" s="54"/>
      <c r="D3" s="55"/>
      <c r="E3" s="54"/>
      <c r="F3" s="54"/>
      <c r="G3" s="55"/>
    </row>
    <row r="4" spans="1:12" ht="39.75" customHeight="1" x14ac:dyDescent="0.3">
      <c r="A4" s="825" t="s">
        <v>5</v>
      </c>
      <c r="B4" s="826"/>
      <c r="C4" s="829">
        <v>42004</v>
      </c>
      <c r="D4" s="829">
        <v>42369</v>
      </c>
      <c r="E4" s="830"/>
      <c r="F4" s="833" t="s">
        <v>87</v>
      </c>
      <c r="G4" s="825"/>
    </row>
    <row r="5" spans="1:12" ht="18.75" customHeight="1" x14ac:dyDescent="0.3">
      <c r="A5" s="825"/>
      <c r="B5" s="826"/>
      <c r="C5" s="831"/>
      <c r="D5" s="831"/>
      <c r="E5" s="832"/>
      <c r="F5" s="56" t="s">
        <v>88</v>
      </c>
      <c r="G5" s="57" t="s">
        <v>89</v>
      </c>
    </row>
    <row r="6" spans="1:12" ht="15" customHeight="1" x14ac:dyDescent="0.35">
      <c r="A6" s="58" t="s">
        <v>90</v>
      </c>
      <c r="B6" s="59" t="s">
        <v>91</v>
      </c>
      <c r="C6" s="60"/>
      <c r="D6" s="61"/>
      <c r="E6" s="62"/>
      <c r="F6" s="63"/>
      <c r="G6" s="64"/>
    </row>
    <row r="7" spans="1:12" ht="19.5" customHeight="1" x14ac:dyDescent="0.35">
      <c r="A7" s="806">
        <v>1</v>
      </c>
      <c r="B7" s="65" t="s">
        <v>92</v>
      </c>
      <c r="C7" s="66">
        <v>2826021</v>
      </c>
      <c r="D7" s="67">
        <v>2976984</v>
      </c>
      <c r="E7" s="68"/>
      <c r="F7" s="69">
        <v>150963</v>
      </c>
      <c r="G7" s="70">
        <v>5.3418923638571689</v>
      </c>
      <c r="I7" s="71"/>
      <c r="J7" s="71"/>
    </row>
    <row r="8" spans="1:12" ht="15" customHeight="1" x14ac:dyDescent="0.35">
      <c r="A8" s="812"/>
      <c r="B8" s="72" t="s">
        <v>93</v>
      </c>
      <c r="C8" s="73">
        <v>183747</v>
      </c>
      <c r="D8" s="74">
        <v>188795</v>
      </c>
      <c r="E8" s="75"/>
      <c r="F8" s="76">
        <v>5048</v>
      </c>
      <c r="G8" s="77">
        <v>2.7472557375086399</v>
      </c>
      <c r="I8" s="78"/>
      <c r="J8" s="78"/>
    </row>
    <row r="9" spans="1:12" ht="15" customHeight="1" x14ac:dyDescent="0.35">
      <c r="A9" s="812"/>
      <c r="B9" s="79" t="s">
        <v>94</v>
      </c>
      <c r="C9" s="80">
        <v>83798</v>
      </c>
      <c r="D9" s="81">
        <v>84672</v>
      </c>
      <c r="E9" s="82"/>
      <c r="F9" s="83">
        <v>874</v>
      </c>
      <c r="G9" s="84">
        <v>1.0429843194348314</v>
      </c>
    </row>
    <row r="10" spans="1:12" ht="15" customHeight="1" x14ac:dyDescent="0.35">
      <c r="A10" s="812"/>
      <c r="B10" s="79" t="s">
        <v>95</v>
      </c>
      <c r="C10" s="80">
        <v>99949</v>
      </c>
      <c r="D10" s="81">
        <v>104123</v>
      </c>
      <c r="E10" s="82"/>
      <c r="F10" s="83">
        <v>4174</v>
      </c>
      <c r="G10" s="84">
        <v>4.1761298262113682</v>
      </c>
    </row>
    <row r="11" spans="1:12" ht="21.75" customHeight="1" x14ac:dyDescent="0.35">
      <c r="A11" s="812"/>
      <c r="B11" s="72" t="s">
        <v>96</v>
      </c>
      <c r="C11" s="73">
        <v>2642274</v>
      </c>
      <c r="D11" s="74">
        <v>2788189</v>
      </c>
      <c r="E11" s="85"/>
      <c r="F11" s="76">
        <v>145915</v>
      </c>
      <c r="G11" s="77">
        <v>5.5223266020102377</v>
      </c>
    </row>
    <row r="12" spans="1:12" ht="15" customHeight="1" x14ac:dyDescent="0.35">
      <c r="A12" s="86"/>
      <c r="B12" s="79" t="s">
        <v>97</v>
      </c>
      <c r="C12" s="80">
        <v>1239021</v>
      </c>
      <c r="D12" s="81">
        <v>1309826</v>
      </c>
      <c r="E12" s="85"/>
      <c r="F12" s="83">
        <v>70805</v>
      </c>
      <c r="G12" s="84">
        <v>5.7145924080382819</v>
      </c>
    </row>
    <row r="13" spans="1:12" ht="15" customHeight="1" x14ac:dyDescent="0.35">
      <c r="A13" s="87"/>
      <c r="B13" s="88" t="s">
        <v>98</v>
      </c>
      <c r="C13" s="89">
        <v>1403253</v>
      </c>
      <c r="D13" s="90">
        <v>1478363</v>
      </c>
      <c r="E13" s="91"/>
      <c r="F13" s="92">
        <v>75110</v>
      </c>
      <c r="G13" s="93">
        <v>5.352562937688357</v>
      </c>
    </row>
    <row r="14" spans="1:12" ht="15" customHeight="1" x14ac:dyDescent="0.35">
      <c r="A14" s="94">
        <v>2</v>
      </c>
      <c r="B14" s="72" t="s">
        <v>99</v>
      </c>
      <c r="C14" s="73">
        <v>13661</v>
      </c>
      <c r="D14" s="74">
        <v>12197</v>
      </c>
      <c r="E14" s="75"/>
      <c r="F14" s="95">
        <v>-1464</v>
      </c>
      <c r="G14" s="77">
        <v>-10.716638606251372</v>
      </c>
      <c r="I14" s="96"/>
    </row>
    <row r="15" spans="1:12" ht="15" customHeight="1" x14ac:dyDescent="0.35">
      <c r="A15" s="86"/>
      <c r="B15" s="97" t="s">
        <v>100</v>
      </c>
      <c r="C15" s="80">
        <v>10366</v>
      </c>
      <c r="D15" s="81">
        <v>9510</v>
      </c>
      <c r="E15" s="82"/>
      <c r="F15" s="98">
        <v>-856</v>
      </c>
      <c r="G15" s="84">
        <v>-8.2577657727185034</v>
      </c>
    </row>
    <row r="16" spans="1:12" ht="15" customHeight="1" x14ac:dyDescent="0.35">
      <c r="A16" s="99"/>
      <c r="B16" s="100" t="s">
        <v>101</v>
      </c>
      <c r="C16" s="89">
        <v>3295</v>
      </c>
      <c r="D16" s="90">
        <v>2687</v>
      </c>
      <c r="E16" s="101"/>
      <c r="F16" s="102">
        <v>-608</v>
      </c>
      <c r="G16" s="93">
        <v>-18.452200303490137</v>
      </c>
    </row>
    <row r="17" spans="1:7" ht="15" customHeight="1" x14ac:dyDescent="0.35">
      <c r="A17" s="86">
        <v>3</v>
      </c>
      <c r="B17" s="72" t="s">
        <v>102</v>
      </c>
      <c r="C17" s="103">
        <v>660117</v>
      </c>
      <c r="D17" s="74">
        <v>689681</v>
      </c>
      <c r="E17" s="104"/>
      <c r="F17" s="105">
        <v>29564</v>
      </c>
      <c r="G17" s="77">
        <v>4.4786000057565554</v>
      </c>
    </row>
    <row r="18" spans="1:7" ht="15" customHeight="1" x14ac:dyDescent="0.35">
      <c r="A18" s="86"/>
      <c r="B18" s="97" t="s">
        <v>97</v>
      </c>
      <c r="C18" s="106">
        <v>320579</v>
      </c>
      <c r="D18" s="81">
        <v>339848</v>
      </c>
      <c r="E18" s="104"/>
      <c r="F18" s="324">
        <v>19269</v>
      </c>
      <c r="G18" s="84">
        <v>6.0106869133661283</v>
      </c>
    </row>
    <row r="19" spans="1:7" ht="15" customHeight="1" x14ac:dyDescent="0.35">
      <c r="A19" s="99"/>
      <c r="B19" s="100" t="s">
        <v>98</v>
      </c>
      <c r="C19" s="108">
        <v>339538</v>
      </c>
      <c r="D19" s="90">
        <v>349833</v>
      </c>
      <c r="E19" s="109"/>
      <c r="F19" s="110">
        <v>10295</v>
      </c>
      <c r="G19" s="93">
        <v>3.0320612125888706</v>
      </c>
    </row>
    <row r="20" spans="1:7" ht="17.25" customHeight="1" x14ac:dyDescent="0.35">
      <c r="A20" s="806">
        <v>4</v>
      </c>
      <c r="B20" s="111" t="s">
        <v>103</v>
      </c>
      <c r="C20" s="112">
        <v>44.92579191850465</v>
      </c>
      <c r="D20" s="113">
        <v>46.505093014591303</v>
      </c>
      <c r="E20" s="114"/>
      <c r="F20" s="115">
        <v>1.5793010960866525</v>
      </c>
      <c r="G20" s="116"/>
    </row>
    <row r="21" spans="1:7" ht="15" customHeight="1" x14ac:dyDescent="0.35">
      <c r="A21" s="812"/>
      <c r="B21" s="72" t="s">
        <v>104</v>
      </c>
      <c r="C21" s="117">
        <v>2.9402991905284175</v>
      </c>
      <c r="D21" s="118">
        <v>3.0013099284308522</v>
      </c>
      <c r="E21" s="119"/>
      <c r="F21" s="120">
        <v>6.1010737902434498E-2</v>
      </c>
      <c r="G21" s="121"/>
    </row>
    <row r="22" spans="1:7" ht="15" customHeight="1" x14ac:dyDescent="0.35">
      <c r="A22" s="812"/>
      <c r="B22" s="122" t="s">
        <v>105</v>
      </c>
      <c r="C22" s="123">
        <v>1.3409263365818236</v>
      </c>
      <c r="D22" s="124">
        <v>1.3460468458385926</v>
      </c>
      <c r="E22" s="125"/>
      <c r="F22" s="126">
        <v>5.1205092567689903E-3</v>
      </c>
      <c r="G22" s="127"/>
    </row>
    <row r="23" spans="1:7" ht="15" customHeight="1" x14ac:dyDescent="0.35">
      <c r="A23" s="812"/>
      <c r="B23" s="122" t="s">
        <v>106</v>
      </c>
      <c r="C23" s="123">
        <v>1.5993728539465939</v>
      </c>
      <c r="D23" s="124">
        <v>1.6552630825922594</v>
      </c>
      <c r="E23" s="125"/>
      <c r="F23" s="126">
        <v>5.5890228645665507E-2</v>
      </c>
      <c r="G23" s="127"/>
    </row>
    <row r="24" spans="1:7" ht="15" customHeight="1" x14ac:dyDescent="0.35">
      <c r="A24" s="812"/>
      <c r="B24" s="72" t="s">
        <v>107</v>
      </c>
      <c r="C24" s="117">
        <v>42.00473100365317</v>
      </c>
      <c r="D24" s="118">
        <v>43.555823204713334</v>
      </c>
      <c r="E24" s="128"/>
      <c r="F24" s="120">
        <v>1.5510922010601647</v>
      </c>
      <c r="G24" s="127"/>
    </row>
    <row r="25" spans="1:7" ht="15" customHeight="1" x14ac:dyDescent="0.35">
      <c r="A25" s="86"/>
      <c r="B25" s="122" t="s">
        <v>97</v>
      </c>
      <c r="C25" s="123">
        <v>19.696951872847919</v>
      </c>
      <c r="D25" s="124">
        <v>20.461507338611852</v>
      </c>
      <c r="E25" s="129"/>
      <c r="F25" s="126">
        <v>0.76455546576393374</v>
      </c>
      <c r="G25" s="127"/>
    </row>
    <row r="26" spans="1:7" ht="15" customHeight="1" x14ac:dyDescent="0.35">
      <c r="A26" s="99"/>
      <c r="B26" s="130" t="s">
        <v>98</v>
      </c>
      <c r="C26" s="131">
        <v>22.307779130805255</v>
      </c>
      <c r="D26" s="132">
        <v>23.094315866101478</v>
      </c>
      <c r="E26" s="133"/>
      <c r="F26" s="134">
        <v>0.78653673529622381</v>
      </c>
      <c r="G26" s="135"/>
    </row>
    <row r="27" spans="1:7" ht="18" customHeight="1" x14ac:dyDescent="0.35">
      <c r="A27" s="136">
        <v>5</v>
      </c>
      <c r="B27" s="137" t="s">
        <v>108</v>
      </c>
      <c r="C27" s="138">
        <v>101.10423174949806</v>
      </c>
      <c r="D27" s="139">
        <v>104.71287869807813</v>
      </c>
      <c r="E27" s="140"/>
      <c r="F27" s="141">
        <v>3.6086469485800734</v>
      </c>
      <c r="G27" s="121"/>
    </row>
    <row r="28" spans="1:7" ht="15" customHeight="1" x14ac:dyDescent="0.35">
      <c r="A28" s="136"/>
      <c r="B28" s="72" t="s">
        <v>104</v>
      </c>
      <c r="C28" s="117">
        <v>6.5737654714083931</v>
      </c>
      <c r="D28" s="118">
        <v>6.6407034548400858</v>
      </c>
      <c r="E28" s="119"/>
      <c r="F28" s="120">
        <v>6.6937983431692771E-2</v>
      </c>
      <c r="G28" s="121"/>
    </row>
    <row r="29" spans="1:7" ht="15.5" x14ac:dyDescent="0.35">
      <c r="A29" s="136"/>
      <c r="B29" s="122" t="s">
        <v>105</v>
      </c>
      <c r="C29" s="123">
        <v>2.9979722062024443</v>
      </c>
      <c r="D29" s="124">
        <v>2.9782655416097872</v>
      </c>
      <c r="E29" s="125"/>
      <c r="F29" s="126">
        <v>-1.970666459265713E-2</v>
      </c>
      <c r="G29" s="127"/>
    </row>
    <row r="30" spans="1:7" ht="15" customHeight="1" x14ac:dyDescent="0.35">
      <c r="A30" s="136"/>
      <c r="B30" s="122" t="s">
        <v>106</v>
      </c>
      <c r="C30" s="123">
        <v>3.5757932652059488</v>
      </c>
      <c r="D30" s="124">
        <v>3.6624379132302987</v>
      </c>
      <c r="E30" s="125"/>
      <c r="F30" s="126">
        <v>8.6644648024349902E-2</v>
      </c>
      <c r="G30" s="127"/>
    </row>
    <row r="31" spans="1:7" ht="15" customHeight="1" x14ac:dyDescent="0.35">
      <c r="A31" s="136"/>
      <c r="B31" s="142" t="s">
        <v>109</v>
      </c>
      <c r="C31" s="138">
        <v>92.939739296242664</v>
      </c>
      <c r="D31" s="139">
        <v>98.072175243238036</v>
      </c>
      <c r="E31" s="140"/>
      <c r="F31" s="141">
        <v>5.132435946995372</v>
      </c>
      <c r="G31" s="127"/>
    </row>
    <row r="32" spans="1:7" ht="15" customHeight="1" x14ac:dyDescent="0.35">
      <c r="A32" s="136"/>
      <c r="B32" s="122" t="s">
        <v>97</v>
      </c>
      <c r="C32" s="143">
        <v>43.581509231279526</v>
      </c>
      <c r="D32" s="144">
        <v>46.860568783996314</v>
      </c>
      <c r="E32" s="145"/>
      <c r="F32" s="146">
        <v>3.2790595527167881</v>
      </c>
      <c r="G32" s="127"/>
    </row>
    <row r="33" spans="1:12" ht="15" customHeight="1" x14ac:dyDescent="0.35">
      <c r="A33" s="136"/>
      <c r="B33" s="130" t="s">
        <v>98</v>
      </c>
      <c r="C33" s="147">
        <v>49.358230064963138</v>
      </c>
      <c r="D33" s="148">
        <v>52.890178580372613</v>
      </c>
      <c r="E33" s="149"/>
      <c r="F33" s="150">
        <v>3.531948515409475</v>
      </c>
      <c r="G33" s="135"/>
    </row>
    <row r="34" spans="1:12" ht="21" customHeight="1" x14ac:dyDescent="0.35">
      <c r="A34" s="151">
        <v>6</v>
      </c>
      <c r="B34" s="152" t="s">
        <v>110</v>
      </c>
      <c r="C34" s="73">
        <v>2642274</v>
      </c>
      <c r="D34" s="74">
        <v>2788189</v>
      </c>
      <c r="E34" s="85"/>
      <c r="F34" s="76">
        <v>145915</v>
      </c>
      <c r="G34" s="77">
        <v>5.5223266020102377</v>
      </c>
      <c r="H34" s="96"/>
    </row>
    <row r="35" spans="1:12" ht="15" customHeight="1" x14ac:dyDescent="0.35">
      <c r="A35" s="136"/>
      <c r="B35" s="153" t="s">
        <v>111</v>
      </c>
      <c r="C35" s="80">
        <v>21</v>
      </c>
      <c r="D35" s="81">
        <v>57</v>
      </c>
      <c r="E35" s="154"/>
      <c r="F35" s="107">
        <v>36</v>
      </c>
      <c r="G35" s="84">
        <v>171.42857142857142</v>
      </c>
      <c r="H35" s="96"/>
      <c r="I35" s="96"/>
      <c r="J35" s="155"/>
      <c r="L35" s="155"/>
    </row>
    <row r="36" spans="1:12" ht="15" customHeight="1" x14ac:dyDescent="0.35">
      <c r="A36" s="136"/>
      <c r="B36" s="153" t="s">
        <v>112</v>
      </c>
      <c r="C36" s="80">
        <v>107958</v>
      </c>
      <c r="D36" s="81">
        <v>124117</v>
      </c>
      <c r="E36" s="156"/>
      <c r="F36" s="157">
        <v>16159</v>
      </c>
      <c r="G36" s="84">
        <v>14.967857870653404</v>
      </c>
      <c r="H36" s="96"/>
      <c r="I36" s="96"/>
      <c r="J36" s="155"/>
      <c r="L36" s="155"/>
    </row>
    <row r="37" spans="1:12" ht="15" customHeight="1" x14ac:dyDescent="0.35">
      <c r="A37" s="136"/>
      <c r="B37" s="153" t="s">
        <v>113</v>
      </c>
      <c r="C37" s="80">
        <v>465575</v>
      </c>
      <c r="D37" s="81">
        <v>483383</v>
      </c>
      <c r="E37" s="156"/>
      <c r="F37" s="83">
        <v>17808</v>
      </c>
      <c r="G37" s="84">
        <v>3.8249476453847393</v>
      </c>
      <c r="H37" s="96"/>
      <c r="I37" s="96"/>
      <c r="J37" s="155"/>
      <c r="L37" s="155"/>
    </row>
    <row r="38" spans="1:12" ht="15" customHeight="1" x14ac:dyDescent="0.35">
      <c r="A38" s="136"/>
      <c r="B38" s="153" t="s">
        <v>114</v>
      </c>
      <c r="C38" s="80">
        <v>467279</v>
      </c>
      <c r="D38" s="81">
        <v>483511</v>
      </c>
      <c r="E38" s="156"/>
      <c r="F38" s="83">
        <v>16232</v>
      </c>
      <c r="G38" s="84">
        <v>3.4737276873131466</v>
      </c>
      <c r="H38" s="96"/>
      <c r="I38" s="96"/>
      <c r="J38" s="155"/>
      <c r="L38" s="155"/>
    </row>
    <row r="39" spans="1:12" ht="15" customHeight="1" x14ac:dyDescent="0.35">
      <c r="A39" s="136"/>
      <c r="B39" s="153" t="s">
        <v>115</v>
      </c>
      <c r="C39" s="80">
        <v>390380</v>
      </c>
      <c r="D39" s="81">
        <v>404698</v>
      </c>
      <c r="E39" s="156"/>
      <c r="F39" s="157">
        <v>14318</v>
      </c>
      <c r="G39" s="84">
        <v>3.6677083867001388</v>
      </c>
      <c r="H39" s="96"/>
      <c r="I39" s="96"/>
      <c r="J39" s="155"/>
      <c r="L39" s="155"/>
    </row>
    <row r="40" spans="1:12" ht="15" customHeight="1" x14ac:dyDescent="0.35">
      <c r="A40" s="136"/>
      <c r="B40" s="153" t="s">
        <v>116</v>
      </c>
      <c r="C40" s="80">
        <v>387380</v>
      </c>
      <c r="D40" s="81">
        <v>404686</v>
      </c>
      <c r="E40" s="156"/>
      <c r="F40" s="83">
        <v>17306</v>
      </c>
      <c r="G40" s="84">
        <v>4.4674479838917858</v>
      </c>
      <c r="H40" s="96"/>
      <c r="I40" s="96"/>
      <c r="J40" s="155"/>
      <c r="L40" s="155"/>
    </row>
    <row r="41" spans="1:12" ht="15" customHeight="1" x14ac:dyDescent="0.35">
      <c r="A41" s="136"/>
      <c r="B41" s="153" t="s">
        <v>117</v>
      </c>
      <c r="C41" s="80">
        <v>294875</v>
      </c>
      <c r="D41" s="81">
        <v>312368</v>
      </c>
      <c r="E41" s="156"/>
      <c r="F41" s="83">
        <v>17493</v>
      </c>
      <c r="G41" s="84">
        <v>5.9323442136498521</v>
      </c>
      <c r="H41" s="96"/>
      <c r="I41" s="96"/>
      <c r="J41" s="155"/>
      <c r="L41" s="155"/>
    </row>
    <row r="42" spans="1:12" ht="15" customHeight="1" x14ac:dyDescent="0.35">
      <c r="A42" s="136"/>
      <c r="B42" s="153" t="s">
        <v>118</v>
      </c>
      <c r="C42" s="80">
        <v>214583</v>
      </c>
      <c r="D42" s="81">
        <v>228416</v>
      </c>
      <c r="E42" s="156"/>
      <c r="F42" s="83">
        <v>13833</v>
      </c>
      <c r="G42" s="84">
        <v>6.4464566158549372</v>
      </c>
      <c r="H42" s="96"/>
      <c r="I42" s="96"/>
      <c r="J42" s="155"/>
      <c r="L42" s="155"/>
    </row>
    <row r="43" spans="1:12" ht="15" customHeight="1" x14ac:dyDescent="0.35">
      <c r="A43" s="136"/>
      <c r="B43" s="153" t="s">
        <v>119</v>
      </c>
      <c r="C43" s="80">
        <v>149873</v>
      </c>
      <c r="D43" s="81">
        <v>166222</v>
      </c>
      <c r="E43" s="156"/>
      <c r="F43" s="83">
        <v>16349</v>
      </c>
      <c r="G43" s="84">
        <v>10.908569255302822</v>
      </c>
      <c r="H43" s="96"/>
      <c r="I43" s="96"/>
      <c r="J43" s="155"/>
      <c r="L43" s="155"/>
    </row>
    <row r="44" spans="1:12" ht="15" customHeight="1" x14ac:dyDescent="0.35">
      <c r="A44" s="136"/>
      <c r="B44" s="153" t="s">
        <v>120</v>
      </c>
      <c r="C44" s="80">
        <v>89234</v>
      </c>
      <c r="D44" s="81">
        <v>95955</v>
      </c>
      <c r="E44" s="156"/>
      <c r="F44" s="83">
        <v>6721</v>
      </c>
      <c r="G44" s="84">
        <v>7.531882466324495</v>
      </c>
      <c r="H44" s="96"/>
      <c r="I44" s="96"/>
      <c r="J44" s="155"/>
      <c r="L44" s="155"/>
    </row>
    <row r="45" spans="1:12" ht="15" customHeight="1" x14ac:dyDescent="0.35">
      <c r="A45" s="136"/>
      <c r="B45" s="153" t="s">
        <v>121</v>
      </c>
      <c r="C45" s="80">
        <v>48604</v>
      </c>
      <c r="D45" s="81">
        <v>52353</v>
      </c>
      <c r="E45" s="156"/>
      <c r="F45" s="158">
        <v>3749</v>
      </c>
      <c r="G45" s="84">
        <v>7.7133569253559378</v>
      </c>
      <c r="H45" s="96"/>
      <c r="I45" s="96"/>
      <c r="J45" s="155"/>
      <c r="L45" s="155"/>
    </row>
    <row r="46" spans="1:12" ht="15" customHeight="1" x14ac:dyDescent="0.35">
      <c r="A46" s="136"/>
      <c r="B46" s="153" t="s">
        <v>122</v>
      </c>
      <c r="C46" s="80">
        <v>21236</v>
      </c>
      <c r="D46" s="81">
        <v>24858</v>
      </c>
      <c r="E46" s="156"/>
      <c r="F46" s="83">
        <v>3622</v>
      </c>
      <c r="G46" s="84">
        <v>17.055942738745529</v>
      </c>
      <c r="H46" s="96"/>
      <c r="I46" s="96"/>
      <c r="J46" s="155"/>
      <c r="L46" s="155"/>
    </row>
    <row r="47" spans="1:12" ht="15" customHeight="1" x14ac:dyDescent="0.35">
      <c r="A47" s="136"/>
      <c r="B47" s="153" t="s">
        <v>123</v>
      </c>
      <c r="C47" s="80">
        <v>4809</v>
      </c>
      <c r="D47" s="81">
        <v>7016</v>
      </c>
      <c r="E47" s="159"/>
      <c r="F47" s="83">
        <v>2207</v>
      </c>
      <c r="G47" s="84">
        <v>45.893117072156372</v>
      </c>
      <c r="H47" s="96"/>
      <c r="I47" s="96"/>
      <c r="J47" s="155"/>
      <c r="L47" s="155"/>
    </row>
    <row r="48" spans="1:12" ht="15" customHeight="1" x14ac:dyDescent="0.35">
      <c r="A48" s="136"/>
      <c r="B48" s="153" t="s">
        <v>124</v>
      </c>
      <c r="C48" s="80">
        <v>304</v>
      </c>
      <c r="D48" s="81">
        <v>356</v>
      </c>
      <c r="E48" s="159"/>
      <c r="F48" s="83">
        <v>52</v>
      </c>
      <c r="G48" s="84">
        <v>17.105263157894736</v>
      </c>
      <c r="I48" s="96"/>
      <c r="J48" s="155"/>
      <c r="L48" s="155"/>
    </row>
    <row r="49" spans="1:12" ht="15" customHeight="1" x14ac:dyDescent="0.35">
      <c r="A49" s="136"/>
      <c r="B49" s="153" t="s">
        <v>125</v>
      </c>
      <c r="C49" s="80">
        <v>111</v>
      </c>
      <c r="D49" s="81">
        <v>125</v>
      </c>
      <c r="E49" s="159"/>
      <c r="F49" s="98">
        <v>14</v>
      </c>
      <c r="G49" s="84">
        <v>12.612612612612612</v>
      </c>
      <c r="I49" s="96"/>
      <c r="J49" s="155"/>
      <c r="L49" s="155"/>
    </row>
    <row r="50" spans="1:12" ht="15" customHeight="1" x14ac:dyDescent="0.35">
      <c r="A50" s="136"/>
      <c r="B50" s="153" t="s">
        <v>126</v>
      </c>
      <c r="C50" s="80">
        <v>52</v>
      </c>
      <c r="D50" s="81">
        <v>68</v>
      </c>
      <c r="E50" s="159"/>
      <c r="F50" s="83">
        <v>16</v>
      </c>
      <c r="G50" s="84">
        <v>30.76923076923077</v>
      </c>
      <c r="H50" s="96"/>
      <c r="J50" s="155"/>
      <c r="L50" s="155"/>
    </row>
    <row r="51" spans="1:12" ht="8.25" customHeight="1" x14ac:dyDescent="0.35">
      <c r="A51" s="160"/>
      <c r="B51" s="161"/>
      <c r="C51" s="89"/>
      <c r="D51" s="162"/>
      <c r="E51" s="163"/>
      <c r="F51" s="92"/>
      <c r="G51" s="164"/>
    </row>
    <row r="52" spans="1:12" ht="23.25" customHeight="1" x14ac:dyDescent="0.3">
      <c r="A52" s="165">
        <v>7</v>
      </c>
      <c r="B52" s="137" t="s">
        <v>127</v>
      </c>
      <c r="C52" s="166">
        <v>2642274</v>
      </c>
      <c r="D52" s="167">
        <v>2788189</v>
      </c>
      <c r="E52" s="168"/>
      <c r="F52" s="169">
        <v>145915</v>
      </c>
      <c r="G52" s="170">
        <v>5.5223266020102377</v>
      </c>
      <c r="H52" s="171"/>
      <c r="I52" s="96"/>
      <c r="J52" s="96"/>
      <c r="K52" s="96"/>
    </row>
    <row r="53" spans="1:12" ht="15" customHeight="1" x14ac:dyDescent="0.35">
      <c r="A53" s="165"/>
      <c r="B53" s="172" t="s">
        <v>128</v>
      </c>
      <c r="C53" s="106">
        <v>130745</v>
      </c>
      <c r="D53" s="81">
        <v>139715</v>
      </c>
      <c r="E53" s="173"/>
      <c r="F53" s="174">
        <v>8970</v>
      </c>
      <c r="G53" s="175">
        <v>6.8606830089104749</v>
      </c>
      <c r="H53" s="96"/>
      <c r="I53" s="176"/>
      <c r="J53" s="96"/>
      <c r="K53" s="96"/>
    </row>
    <row r="54" spans="1:12" ht="15" customHeight="1" x14ac:dyDescent="0.35">
      <c r="A54" s="165"/>
      <c r="B54" s="172" t="s">
        <v>129</v>
      </c>
      <c r="C54" s="106">
        <v>247199</v>
      </c>
      <c r="D54" s="81">
        <v>258509</v>
      </c>
      <c r="E54" s="173"/>
      <c r="F54" s="174">
        <v>11310</v>
      </c>
      <c r="G54" s="175">
        <v>4.5752612267848978</v>
      </c>
      <c r="I54" s="176"/>
      <c r="J54" s="96"/>
      <c r="K54" s="96"/>
    </row>
    <row r="55" spans="1:12" ht="15" customHeight="1" x14ac:dyDescent="0.35">
      <c r="A55" s="165"/>
      <c r="B55" s="172" t="s">
        <v>130</v>
      </c>
      <c r="C55" s="106">
        <v>209837</v>
      </c>
      <c r="D55" s="81">
        <v>222253</v>
      </c>
      <c r="E55" s="173"/>
      <c r="F55" s="174">
        <v>12416</v>
      </c>
      <c r="G55" s="175">
        <v>5.9169736509767104</v>
      </c>
      <c r="H55" s="96"/>
      <c r="I55" s="176"/>
      <c r="J55" s="96"/>
      <c r="K55" s="96"/>
    </row>
    <row r="56" spans="1:12" ht="15" customHeight="1" x14ac:dyDescent="0.35">
      <c r="A56" s="165"/>
      <c r="B56" s="172" t="s">
        <v>131</v>
      </c>
      <c r="C56" s="106">
        <v>56452</v>
      </c>
      <c r="D56" s="81">
        <v>60607</v>
      </c>
      <c r="E56" s="173"/>
      <c r="F56" s="174">
        <v>4155</v>
      </c>
      <c r="G56" s="175">
        <v>7.3602352441011831</v>
      </c>
      <c r="H56" s="96"/>
      <c r="I56" s="176"/>
      <c r="J56" s="96"/>
      <c r="K56" s="96"/>
    </row>
    <row r="57" spans="1:12" ht="15" customHeight="1" x14ac:dyDescent="0.35">
      <c r="A57" s="165"/>
      <c r="B57" s="172" t="s">
        <v>132</v>
      </c>
      <c r="C57" s="106">
        <v>361484</v>
      </c>
      <c r="D57" s="81">
        <v>379582</v>
      </c>
      <c r="E57" s="173"/>
      <c r="F57" s="174">
        <v>18098</v>
      </c>
      <c r="G57" s="175">
        <v>5.0065839705215174</v>
      </c>
      <c r="I57" s="176"/>
      <c r="J57" s="96"/>
      <c r="K57" s="96"/>
    </row>
    <row r="58" spans="1:12" ht="15" customHeight="1" x14ac:dyDescent="0.35">
      <c r="A58" s="165"/>
      <c r="B58" s="172" t="s">
        <v>133</v>
      </c>
      <c r="C58" s="106">
        <v>927802</v>
      </c>
      <c r="D58" s="81">
        <v>960620</v>
      </c>
      <c r="E58" s="173"/>
      <c r="F58" s="174">
        <v>32818</v>
      </c>
      <c r="G58" s="175">
        <v>3.5371771132202774</v>
      </c>
      <c r="I58" s="176"/>
      <c r="J58" s="96"/>
      <c r="K58" s="96"/>
    </row>
    <row r="59" spans="1:12" ht="15" customHeight="1" x14ac:dyDescent="0.35">
      <c r="A59" s="165"/>
      <c r="B59" s="172" t="s">
        <v>134</v>
      </c>
      <c r="C59" s="106">
        <v>100543</v>
      </c>
      <c r="D59" s="81">
        <v>106772</v>
      </c>
      <c r="E59" s="173"/>
      <c r="F59" s="174">
        <v>6229</v>
      </c>
      <c r="G59" s="175">
        <v>6.1953591995464627</v>
      </c>
      <c r="I59" s="176"/>
      <c r="J59" s="96"/>
      <c r="K59" s="96"/>
    </row>
    <row r="60" spans="1:12" ht="15" customHeight="1" x14ac:dyDescent="0.35">
      <c r="A60" s="165"/>
      <c r="B60" s="172" t="s">
        <v>135</v>
      </c>
      <c r="C60" s="106">
        <v>137836</v>
      </c>
      <c r="D60" s="81">
        <v>145647</v>
      </c>
      <c r="E60" s="173"/>
      <c r="F60" s="174">
        <v>7811</v>
      </c>
      <c r="G60" s="175">
        <v>5.6668794799616933</v>
      </c>
      <c r="I60" s="176"/>
      <c r="J60" s="96"/>
      <c r="K60" s="96"/>
    </row>
    <row r="61" spans="1:12" ht="15" customHeight="1" x14ac:dyDescent="0.35">
      <c r="A61" s="165"/>
      <c r="B61" s="172" t="s">
        <v>136</v>
      </c>
      <c r="C61" s="106">
        <v>47055</v>
      </c>
      <c r="D61" s="81">
        <v>50419</v>
      </c>
      <c r="E61" s="173"/>
      <c r="F61" s="174">
        <v>3364</v>
      </c>
      <c r="G61" s="175">
        <v>7.1490808628201039</v>
      </c>
      <c r="I61" s="176"/>
      <c r="J61" s="96"/>
      <c r="K61" s="96"/>
    </row>
    <row r="62" spans="1:12" ht="15" customHeight="1" x14ac:dyDescent="0.35">
      <c r="A62" s="165"/>
      <c r="B62" s="172" t="s">
        <v>137</v>
      </c>
      <c r="C62" s="106">
        <v>55770</v>
      </c>
      <c r="D62" s="81">
        <v>59351</v>
      </c>
      <c r="E62" s="173"/>
      <c r="F62" s="174">
        <v>3581</v>
      </c>
      <c r="G62" s="175">
        <v>6.4210148825533437</v>
      </c>
      <c r="I62" s="176"/>
      <c r="J62" s="96"/>
      <c r="K62" s="96"/>
    </row>
    <row r="63" spans="1:12" ht="15" customHeight="1" x14ac:dyDescent="0.35">
      <c r="A63" s="165"/>
      <c r="B63" s="172" t="s">
        <v>138</v>
      </c>
      <c r="C63" s="106">
        <v>120777</v>
      </c>
      <c r="D63" s="81">
        <v>130301</v>
      </c>
      <c r="E63" s="173"/>
      <c r="F63" s="174">
        <v>9524</v>
      </c>
      <c r="G63" s="175">
        <v>7.8856073590170315</v>
      </c>
      <c r="I63" s="176"/>
      <c r="J63" s="96"/>
      <c r="K63" s="96"/>
    </row>
    <row r="64" spans="1:12" ht="18.75" customHeight="1" x14ac:dyDescent="0.35">
      <c r="A64" s="165"/>
      <c r="B64" s="172" t="s">
        <v>139</v>
      </c>
      <c r="C64" s="106">
        <v>159145</v>
      </c>
      <c r="D64" s="81">
        <v>174370</v>
      </c>
      <c r="E64" s="173"/>
      <c r="F64" s="174">
        <v>15225</v>
      </c>
      <c r="G64" s="175">
        <v>9.5667473059159889</v>
      </c>
      <c r="H64" s="96"/>
      <c r="I64" s="176"/>
      <c r="J64" s="96"/>
      <c r="K64" s="96"/>
    </row>
    <row r="65" spans="1:12" ht="15" customHeight="1" x14ac:dyDescent="0.35">
      <c r="A65" s="165"/>
      <c r="B65" s="172" t="s">
        <v>140</v>
      </c>
      <c r="C65" s="106">
        <v>35744</v>
      </c>
      <c r="D65" s="81">
        <v>42011</v>
      </c>
      <c r="E65" s="173"/>
      <c r="F65" s="174">
        <v>6267</v>
      </c>
      <c r="G65" s="175">
        <v>17.533012533572069</v>
      </c>
      <c r="I65" s="176"/>
      <c r="J65" s="96"/>
      <c r="K65" s="96"/>
    </row>
    <row r="66" spans="1:12" ht="15" customHeight="1" x14ac:dyDescent="0.35">
      <c r="A66" s="165"/>
      <c r="B66" s="172" t="s">
        <v>141</v>
      </c>
      <c r="C66" s="106">
        <v>51885</v>
      </c>
      <c r="D66" s="81">
        <v>58032</v>
      </c>
      <c r="E66" s="173"/>
      <c r="F66" s="174">
        <v>6147</v>
      </c>
      <c r="G66" s="175">
        <v>11.847354726799653</v>
      </c>
      <c r="H66" s="177"/>
      <c r="I66" s="176"/>
      <c r="J66" s="96"/>
      <c r="K66" s="96"/>
    </row>
    <row r="67" spans="1:12" ht="8.25" customHeight="1" x14ac:dyDescent="0.35">
      <c r="A67" s="178"/>
      <c r="B67" s="161"/>
      <c r="C67" s="89"/>
      <c r="D67" s="90"/>
      <c r="E67" s="163"/>
      <c r="F67" s="179"/>
      <c r="G67" s="180"/>
      <c r="H67" s="177"/>
    </row>
    <row r="68" spans="1:12" ht="15.5" x14ac:dyDescent="0.35">
      <c r="A68" s="86">
        <v>8</v>
      </c>
      <c r="B68" s="137" t="s">
        <v>142</v>
      </c>
      <c r="C68" s="103">
        <v>503556</v>
      </c>
      <c r="D68" s="74">
        <v>504270</v>
      </c>
      <c r="E68" s="181"/>
      <c r="F68" s="105">
        <v>714</v>
      </c>
      <c r="G68" s="182">
        <v>0.14179157829516478</v>
      </c>
      <c r="H68" s="183"/>
      <c r="I68" s="96"/>
      <c r="L68" s="96"/>
    </row>
    <row r="69" spans="1:12" ht="15.5" x14ac:dyDescent="0.35">
      <c r="A69" s="86"/>
      <c r="B69" s="122" t="s">
        <v>143</v>
      </c>
      <c r="C69" s="106">
        <v>484</v>
      </c>
      <c r="D69" s="81">
        <v>714</v>
      </c>
      <c r="E69" s="184"/>
      <c r="F69" s="107">
        <v>230</v>
      </c>
      <c r="G69" s="185">
        <v>47.520661157024797</v>
      </c>
    </row>
    <row r="70" spans="1:12" ht="15.5" x14ac:dyDescent="0.35">
      <c r="A70" s="99"/>
      <c r="B70" s="186" t="s">
        <v>144</v>
      </c>
      <c r="C70" s="187">
        <v>19.057675320576138</v>
      </c>
      <c r="D70" s="132">
        <v>18.08593319893307</v>
      </c>
      <c r="E70" s="188"/>
      <c r="F70" s="189">
        <v>-0.97174212164306795</v>
      </c>
      <c r="G70" s="190"/>
    </row>
    <row r="71" spans="1:12" ht="12" customHeight="1" x14ac:dyDescent="0.35">
      <c r="A71" s="820">
        <v>9</v>
      </c>
      <c r="B71" s="810" t="s">
        <v>145</v>
      </c>
      <c r="C71" s="191"/>
      <c r="D71" s="192"/>
      <c r="E71" s="193"/>
      <c r="F71" s="194"/>
      <c r="G71" s="195"/>
    </row>
    <row r="72" spans="1:12" ht="16.5" customHeight="1" x14ac:dyDescent="0.35">
      <c r="A72" s="821"/>
      <c r="B72" s="813"/>
      <c r="C72" s="196"/>
      <c r="D72" s="197"/>
      <c r="E72" s="198"/>
      <c r="F72" s="199"/>
      <c r="G72" s="127"/>
    </row>
    <row r="73" spans="1:12" ht="18.75" customHeight="1" x14ac:dyDescent="0.35">
      <c r="A73" s="821"/>
      <c r="B73" s="200" t="s">
        <v>146</v>
      </c>
      <c r="C73" s="175">
        <v>24.98291244587049</v>
      </c>
      <c r="D73" s="201">
        <v>24.735805212630851</v>
      </c>
      <c r="E73" s="202"/>
      <c r="F73" s="203">
        <v>-0.2471072332396389</v>
      </c>
      <c r="G73" s="204"/>
      <c r="I73" s="205"/>
      <c r="J73" s="205"/>
      <c r="K73" s="206"/>
    </row>
    <row r="74" spans="1:12" ht="15" customHeight="1" x14ac:dyDescent="0.35">
      <c r="A74" s="822"/>
      <c r="B74" s="130" t="s">
        <v>147</v>
      </c>
      <c r="C74" s="207">
        <v>23.616463624928269</v>
      </c>
      <c r="D74" s="208">
        <v>24.258942235957338</v>
      </c>
      <c r="E74" s="209"/>
      <c r="F74" s="210">
        <v>0.64247861102906967</v>
      </c>
      <c r="G74" s="135"/>
    </row>
    <row r="75" spans="1:12" ht="30.75" customHeight="1" x14ac:dyDescent="0.3">
      <c r="A75" s="136">
        <v>10</v>
      </c>
      <c r="B75" s="211" t="s">
        <v>148</v>
      </c>
      <c r="C75" s="117">
        <v>6727.0712065271437</v>
      </c>
      <c r="D75" s="212">
        <v>7417.4100821771435</v>
      </c>
      <c r="E75" s="213"/>
      <c r="F75" s="214">
        <v>690.33887564999986</v>
      </c>
      <c r="G75" s="215">
        <v>10.262101506821836</v>
      </c>
      <c r="I75" s="205"/>
      <c r="J75" s="205"/>
      <c r="L75" s="206">
        <v>0</v>
      </c>
    </row>
    <row r="76" spans="1:12" ht="24" customHeight="1" x14ac:dyDescent="0.3">
      <c r="A76" s="160"/>
      <c r="B76" s="216" t="s">
        <v>149</v>
      </c>
      <c r="C76" s="131">
        <v>654.67157497000153</v>
      </c>
      <c r="D76" s="217">
        <v>690.33887564999986</v>
      </c>
      <c r="E76" s="218"/>
      <c r="F76" s="219">
        <v>35.667300679998334</v>
      </c>
      <c r="G76" s="220">
        <v>5.4481211715405067</v>
      </c>
    </row>
    <row r="77" spans="1:12" ht="31.5" customHeight="1" x14ac:dyDescent="0.3">
      <c r="A77" s="136">
        <v>11</v>
      </c>
      <c r="B77" s="211" t="s">
        <v>150</v>
      </c>
      <c r="C77" s="117">
        <v>8053.7461081199999</v>
      </c>
      <c r="D77" s="212">
        <v>8637.0187633699989</v>
      </c>
      <c r="E77" s="213"/>
      <c r="F77" s="214">
        <v>583.27265524999893</v>
      </c>
      <c r="G77" s="215">
        <v>7.2422528276863369</v>
      </c>
      <c r="H77" s="221"/>
    </row>
    <row r="78" spans="1:12" ht="15" customHeight="1" x14ac:dyDescent="0.3">
      <c r="A78" s="222"/>
      <c r="B78" s="223"/>
      <c r="C78" s="224"/>
      <c r="D78" s="225"/>
      <c r="E78" s="226"/>
      <c r="F78" s="227"/>
      <c r="G78" s="228"/>
      <c r="H78" s="229"/>
    </row>
    <row r="79" spans="1:12" ht="15" customHeight="1" x14ac:dyDescent="0.3">
      <c r="A79" s="222"/>
      <c r="B79" s="122" t="s">
        <v>151</v>
      </c>
      <c r="C79" s="123">
        <v>3048.0359372722132</v>
      </c>
      <c r="D79" s="230">
        <v>3097.716389875291</v>
      </c>
      <c r="E79" s="231"/>
      <c r="F79" s="232">
        <v>49.680452603077811</v>
      </c>
      <c r="G79" s="233">
        <v>1.6299168915816151</v>
      </c>
    </row>
    <row r="80" spans="1:12" ht="15" customHeight="1" x14ac:dyDescent="0.3">
      <c r="A80" s="222"/>
      <c r="B80" s="122"/>
      <c r="C80" s="224"/>
      <c r="D80" s="225"/>
      <c r="E80" s="226"/>
      <c r="F80" s="234"/>
      <c r="G80" s="235"/>
    </row>
    <row r="81" spans="1:9" ht="15" customHeight="1" x14ac:dyDescent="0.3">
      <c r="A81" s="236"/>
      <c r="B81" s="122" t="s">
        <v>152</v>
      </c>
      <c r="C81" s="131">
        <v>1280.3192963458719</v>
      </c>
      <c r="D81" s="217">
        <v>1349.2358741575104</v>
      </c>
      <c r="E81" s="218"/>
      <c r="F81" s="219">
        <v>68.91657781163849</v>
      </c>
      <c r="G81" s="220">
        <v>5.3827649093731242</v>
      </c>
    </row>
    <row r="82" spans="1:9" ht="15" customHeight="1" x14ac:dyDescent="0.3">
      <c r="A82" s="806">
        <v>12</v>
      </c>
      <c r="B82" s="839" t="s">
        <v>153</v>
      </c>
      <c r="C82" s="117">
        <v>33.198866026027346</v>
      </c>
      <c r="D82" s="212">
        <v>34.32332591538605</v>
      </c>
      <c r="E82" s="237"/>
      <c r="F82" s="238">
        <v>1.1244598893587039</v>
      </c>
      <c r="G82" s="239"/>
    </row>
    <row r="83" spans="1:9" ht="18.75" customHeight="1" x14ac:dyDescent="0.35">
      <c r="A83" s="809"/>
      <c r="B83" s="840"/>
      <c r="C83" s="240"/>
      <c r="D83" s="241"/>
      <c r="E83" s="242"/>
      <c r="F83" s="243"/>
      <c r="G83" s="135"/>
    </row>
    <row r="84" spans="1:9" ht="23.25" customHeight="1" x14ac:dyDescent="0.3">
      <c r="A84" s="86">
        <v>13</v>
      </c>
      <c r="B84" s="244" t="s">
        <v>154</v>
      </c>
      <c r="C84" s="245">
        <v>7992.9813922717349</v>
      </c>
      <c r="D84" s="246">
        <v>8514.119635363375</v>
      </c>
      <c r="E84" s="247"/>
      <c r="F84" s="248">
        <v>521.13824309164011</v>
      </c>
      <c r="G84" s="215">
        <v>6.5199481584621104</v>
      </c>
    </row>
    <row r="85" spans="1:9" ht="24" customHeight="1" x14ac:dyDescent="0.35">
      <c r="A85" s="222"/>
      <c r="B85" s="249" t="s">
        <v>155</v>
      </c>
      <c r="C85" s="196"/>
      <c r="D85" s="197"/>
      <c r="E85" s="198"/>
      <c r="F85" s="199"/>
      <c r="G85" s="250"/>
    </row>
    <row r="86" spans="1:9" ht="15" customHeight="1" x14ac:dyDescent="0.35">
      <c r="A86" s="222"/>
      <c r="B86" s="251" t="s">
        <v>156</v>
      </c>
      <c r="C86" s="175">
        <v>6391.3042669963943</v>
      </c>
      <c r="D86" s="252">
        <v>6857.5340446469363</v>
      </c>
      <c r="E86" s="253"/>
      <c r="F86" s="203">
        <v>466.22977765054202</v>
      </c>
      <c r="G86" s="84">
        <v>7.2947517153591503</v>
      </c>
      <c r="I86" s="254"/>
    </row>
    <row r="87" spans="1:9" ht="15" customHeight="1" x14ac:dyDescent="0.35">
      <c r="A87" s="222"/>
      <c r="B87" s="251" t="s">
        <v>157</v>
      </c>
      <c r="C87" s="175">
        <v>79.961455598733494</v>
      </c>
      <c r="D87" s="252">
        <v>80.543078302120463</v>
      </c>
      <c r="E87" s="255"/>
      <c r="F87" s="203">
        <v>0.58162270338696942</v>
      </c>
      <c r="G87" s="256"/>
      <c r="H87" s="205"/>
    </row>
    <row r="88" spans="1:9" ht="15" customHeight="1" x14ac:dyDescent="0.35">
      <c r="A88" s="222"/>
      <c r="B88" s="251" t="s">
        <v>158</v>
      </c>
      <c r="C88" s="175">
        <v>450.42294426663</v>
      </c>
      <c r="D88" s="252">
        <v>467.46570141025001</v>
      </c>
      <c r="E88" s="255"/>
      <c r="F88" s="203">
        <v>17.042757143620008</v>
      </c>
      <c r="G88" s="84">
        <v>3.7837231341242394</v>
      </c>
    </row>
    <row r="89" spans="1:9" ht="15" customHeight="1" x14ac:dyDescent="0.35">
      <c r="A89" s="222"/>
      <c r="B89" s="251" t="s">
        <v>157</v>
      </c>
      <c r="C89" s="175">
        <v>5.6352307375835453</v>
      </c>
      <c r="D89" s="252">
        <v>5.4904760730473221</v>
      </c>
      <c r="E89" s="255"/>
      <c r="F89" s="203">
        <v>-0.14475466453622321</v>
      </c>
      <c r="G89" s="84"/>
    </row>
    <row r="90" spans="1:9" ht="15" customHeight="1" x14ac:dyDescent="0.35">
      <c r="A90" s="222"/>
      <c r="B90" s="251" t="s">
        <v>159</v>
      </c>
      <c r="C90" s="175">
        <v>58.404786553749993</v>
      </c>
      <c r="D90" s="252">
        <v>54.534564705150004</v>
      </c>
      <c r="E90" s="255"/>
      <c r="F90" s="203">
        <v>-3.8702218485999893</v>
      </c>
      <c r="G90" s="84">
        <v>-6.6265490843600974</v>
      </c>
    </row>
    <row r="91" spans="1:9" ht="15" customHeight="1" x14ac:dyDescent="0.35">
      <c r="A91" s="222"/>
      <c r="B91" s="251" t="s">
        <v>157</v>
      </c>
      <c r="C91" s="175">
        <v>0.73070089479027811</v>
      </c>
      <c r="D91" s="252">
        <v>0.64051912635383723</v>
      </c>
      <c r="E91" s="202"/>
      <c r="F91" s="203">
        <v>-9.0181768436440879E-2</v>
      </c>
      <c r="G91" s="84"/>
      <c r="H91" s="205"/>
    </row>
    <row r="92" spans="1:9" ht="15" customHeight="1" x14ac:dyDescent="0.35">
      <c r="A92" s="222"/>
      <c r="B92" s="257" t="s">
        <v>160</v>
      </c>
      <c r="C92" s="175">
        <v>41.8163962</v>
      </c>
      <c r="D92" s="252">
        <v>42.148322999999998</v>
      </c>
      <c r="E92" s="255"/>
      <c r="F92" s="203">
        <v>0.33192679999999797</v>
      </c>
      <c r="G92" s="84">
        <v>0.79377189371473855</v>
      </c>
      <c r="H92" s="205"/>
    </row>
    <row r="93" spans="1:9" ht="15" customHeight="1" x14ac:dyDescent="0.35">
      <c r="A93" s="222"/>
      <c r="B93" s="251" t="s">
        <v>157</v>
      </c>
      <c r="C93" s="258">
        <v>0.52316393780713033</v>
      </c>
      <c r="D93" s="259">
        <v>0.49504029547502532</v>
      </c>
      <c r="E93" s="255"/>
      <c r="F93" s="260">
        <v>-2.8123642332105014E-2</v>
      </c>
      <c r="G93" s="261"/>
      <c r="H93" s="205"/>
    </row>
    <row r="94" spans="1:9" ht="15" customHeight="1" x14ac:dyDescent="0.35">
      <c r="A94" s="222"/>
      <c r="B94" s="251" t="s">
        <v>161</v>
      </c>
      <c r="C94" s="143">
        <v>644.05052913886016</v>
      </c>
      <c r="D94" s="252">
        <v>549.47886778204997</v>
      </c>
      <c r="E94" s="262"/>
      <c r="F94" s="263">
        <v>-94.571661356810182</v>
      </c>
      <c r="G94" s="84">
        <v>-14.683888464971684</v>
      </c>
      <c r="H94" s="205"/>
    </row>
    <row r="95" spans="1:9" ht="15" customHeight="1" x14ac:dyDescent="0.35">
      <c r="A95" s="222"/>
      <c r="B95" s="251" t="s">
        <v>157</v>
      </c>
      <c r="C95" s="143">
        <v>8.0577008444130822</v>
      </c>
      <c r="D95" s="252">
        <v>6.4537367492440545</v>
      </c>
      <c r="E95" s="262"/>
      <c r="F95" s="263">
        <v>-1.6039640951690277</v>
      </c>
      <c r="G95" s="261"/>
      <c r="H95" s="205"/>
    </row>
    <row r="96" spans="1:9" ht="15" customHeight="1" x14ac:dyDescent="0.35">
      <c r="A96" s="222"/>
      <c r="B96" s="251" t="s">
        <v>162</v>
      </c>
      <c r="C96" s="175">
        <v>406.98246911610079</v>
      </c>
      <c r="D96" s="252">
        <v>542.95813381898847</v>
      </c>
      <c r="E96" s="255"/>
      <c r="F96" s="203">
        <v>135.97566470288768</v>
      </c>
      <c r="G96" s="261"/>
      <c r="H96" s="205"/>
    </row>
    <row r="97" spans="1:8" ht="15" customHeight="1" x14ac:dyDescent="0.35">
      <c r="A97" s="222"/>
      <c r="B97" s="251" t="s">
        <v>157</v>
      </c>
      <c r="C97" s="143">
        <v>5.0917479866724644</v>
      </c>
      <c r="D97" s="252">
        <v>6.377149453759297</v>
      </c>
      <c r="E97" s="262"/>
      <c r="F97" s="263">
        <v>1.2854014670868326</v>
      </c>
      <c r="G97" s="250"/>
      <c r="H97" s="205"/>
    </row>
    <row r="98" spans="1:8" ht="15" customHeight="1" x14ac:dyDescent="0.35">
      <c r="A98" s="222"/>
      <c r="B98" s="249" t="s">
        <v>163</v>
      </c>
      <c r="C98" s="143" t="s">
        <v>65</v>
      </c>
      <c r="D98" s="264" t="s">
        <v>65</v>
      </c>
      <c r="E98" s="156"/>
      <c r="F98" s="265"/>
      <c r="G98" s="250"/>
    </row>
    <row r="99" spans="1:8" ht="15" customHeight="1" x14ac:dyDescent="0.35">
      <c r="A99" s="222"/>
      <c r="B99" s="249"/>
      <c r="C99" s="266"/>
      <c r="D99" s="264"/>
      <c r="E99" s="156"/>
      <c r="F99" s="265"/>
      <c r="G99" s="250"/>
    </row>
    <row r="100" spans="1:8" ht="15" customHeight="1" x14ac:dyDescent="0.35">
      <c r="A100" s="222"/>
      <c r="B100" s="251" t="s">
        <v>164</v>
      </c>
      <c r="C100" s="175">
        <v>7992.981392271734</v>
      </c>
      <c r="D100" s="252">
        <v>8514.119635363375</v>
      </c>
      <c r="E100" s="253"/>
      <c r="F100" s="203">
        <v>521.13824309164102</v>
      </c>
      <c r="G100" s="84">
        <v>6.5199481584621219</v>
      </c>
    </row>
    <row r="101" spans="1:8" ht="15" customHeight="1" x14ac:dyDescent="0.35">
      <c r="A101" s="222"/>
      <c r="B101" s="251" t="s">
        <v>157</v>
      </c>
      <c r="C101" s="175">
        <v>99.999999999999986</v>
      </c>
      <c r="D101" s="252">
        <v>100</v>
      </c>
      <c r="E101" s="253"/>
      <c r="F101" s="203">
        <v>0</v>
      </c>
      <c r="G101" s="267"/>
    </row>
    <row r="102" spans="1:8" ht="15" customHeight="1" x14ac:dyDescent="0.35">
      <c r="A102" s="222"/>
      <c r="B102" s="251" t="s">
        <v>165</v>
      </c>
      <c r="C102" s="175">
        <v>0</v>
      </c>
      <c r="D102" s="252">
        <v>0</v>
      </c>
      <c r="E102" s="253"/>
      <c r="F102" s="203">
        <v>0</v>
      </c>
      <c r="G102" s="268"/>
    </row>
    <row r="103" spans="1:8" ht="15" customHeight="1" x14ac:dyDescent="0.35">
      <c r="A103" s="269"/>
      <c r="B103" s="251" t="s">
        <v>157</v>
      </c>
      <c r="C103" s="175">
        <v>0</v>
      </c>
      <c r="D103" s="252">
        <v>0</v>
      </c>
      <c r="E103" s="253"/>
      <c r="F103" s="203">
        <v>0</v>
      </c>
      <c r="G103" s="84"/>
    </row>
    <row r="104" spans="1:8" ht="11.25" customHeight="1" x14ac:dyDescent="0.35">
      <c r="A104" s="270"/>
      <c r="B104" s="271"/>
      <c r="C104" s="180"/>
      <c r="D104" s="272"/>
      <c r="E104" s="273"/>
      <c r="F104" s="210"/>
      <c r="G104" s="93"/>
    </row>
    <row r="105" spans="1:8" ht="18" customHeight="1" x14ac:dyDescent="0.3">
      <c r="A105" s="274">
        <v>14</v>
      </c>
      <c r="B105" s="275" t="s">
        <v>166</v>
      </c>
      <c r="C105" s="276">
        <v>1.1321000000000003</v>
      </c>
      <c r="D105" s="277">
        <v>1.1812500000000004</v>
      </c>
      <c r="E105" s="278"/>
      <c r="F105" s="279">
        <v>4.9150000000000027E-2</v>
      </c>
      <c r="G105" s="280"/>
    </row>
    <row r="106" spans="1:8" ht="17.25" customHeight="1" x14ac:dyDescent="0.3">
      <c r="A106" s="160">
        <v>15</v>
      </c>
      <c r="B106" s="244" t="s">
        <v>167</v>
      </c>
      <c r="C106" s="281">
        <v>32.658877393108426</v>
      </c>
      <c r="D106" s="282">
        <v>33.407059779926584</v>
      </c>
      <c r="E106" s="283"/>
      <c r="F106" s="284">
        <v>0.74818238681815785</v>
      </c>
      <c r="G106" s="215">
        <v>2.2909005040572428</v>
      </c>
    </row>
    <row r="107" spans="1:8" ht="15" customHeight="1" x14ac:dyDescent="0.35">
      <c r="A107" s="806">
        <v>16</v>
      </c>
      <c r="B107" s="810" t="s">
        <v>168</v>
      </c>
      <c r="C107" s="191"/>
      <c r="D107" s="192"/>
      <c r="E107" s="193"/>
      <c r="F107" s="194"/>
      <c r="G107" s="195"/>
    </row>
    <row r="108" spans="1:8" ht="5.25" customHeight="1" x14ac:dyDescent="0.35">
      <c r="A108" s="812"/>
      <c r="B108" s="813"/>
      <c r="C108" s="196"/>
      <c r="D108" s="197"/>
      <c r="E108" s="198"/>
      <c r="F108" s="199"/>
      <c r="G108" s="127"/>
    </row>
    <row r="109" spans="1:8" ht="5.25" customHeight="1" x14ac:dyDescent="0.35">
      <c r="A109" s="812"/>
      <c r="B109" s="285"/>
      <c r="C109" s="143"/>
      <c r="D109" s="197"/>
      <c r="E109" s="198"/>
      <c r="F109" s="199"/>
      <c r="G109" s="127"/>
    </row>
    <row r="110" spans="1:8" ht="20.25" customHeight="1" x14ac:dyDescent="0.35">
      <c r="A110" s="812"/>
      <c r="B110" s="257" t="s">
        <v>169</v>
      </c>
      <c r="C110" s="402">
        <v>3.9306265451437743</v>
      </c>
      <c r="D110" s="403">
        <v>2.2776960122313907</v>
      </c>
      <c r="E110" s="404"/>
      <c r="F110" s="405">
        <v>-1.6529305329123836</v>
      </c>
      <c r="G110" s="127"/>
    </row>
    <row r="111" spans="1:8" ht="30" customHeight="1" x14ac:dyDescent="0.35">
      <c r="A111" s="809"/>
      <c r="B111" s="288" t="s">
        <v>170</v>
      </c>
      <c r="C111" s="406">
        <v>3.444437688010149</v>
      </c>
      <c r="D111" s="407">
        <v>1.2550203071293842</v>
      </c>
      <c r="E111" s="408"/>
      <c r="F111" s="409">
        <v>-2.1894173808807649</v>
      </c>
      <c r="G111" s="93"/>
    </row>
    <row r="112" spans="1:8" ht="36" customHeight="1" x14ac:dyDescent="0.3">
      <c r="A112" s="136">
        <v>17</v>
      </c>
      <c r="B112" s="211" t="s">
        <v>171</v>
      </c>
      <c r="C112" s="245">
        <v>24.24509011</v>
      </c>
      <c r="D112" s="246">
        <v>25.942881509999999</v>
      </c>
      <c r="E112" s="291"/>
      <c r="F112" s="248">
        <v>1.6977913999999998</v>
      </c>
      <c r="G112" s="215">
        <v>7.0026194676823987</v>
      </c>
    </row>
    <row r="113" spans="1:7" ht="15" customHeight="1" x14ac:dyDescent="0.35">
      <c r="A113" s="222"/>
      <c r="B113" s="153" t="s">
        <v>172</v>
      </c>
      <c r="C113" s="185">
        <v>13.292746600000001</v>
      </c>
      <c r="D113" s="286">
        <v>13.990537999999997</v>
      </c>
      <c r="E113" s="292"/>
      <c r="F113" s="234">
        <v>0.69779139999999629</v>
      </c>
      <c r="G113" s="84">
        <v>5.2494147447300037</v>
      </c>
    </row>
    <row r="114" spans="1:7" ht="24.75" customHeight="1" x14ac:dyDescent="0.3">
      <c r="A114" s="236"/>
      <c r="B114" s="293" t="s">
        <v>173</v>
      </c>
      <c r="C114" s="187">
        <v>10.95234351</v>
      </c>
      <c r="D114" s="289">
        <v>11.952343510000002</v>
      </c>
      <c r="E114" s="294"/>
      <c r="F114" s="295">
        <v>1.0000000000000018</v>
      </c>
      <c r="G114" s="220">
        <v>9.1304659964961399</v>
      </c>
    </row>
    <row r="115" spans="1:7" ht="15" customHeight="1" x14ac:dyDescent="0.3">
      <c r="A115" s="136">
        <v>18</v>
      </c>
      <c r="B115" s="151" t="s">
        <v>174</v>
      </c>
      <c r="C115" s="296">
        <v>159836</v>
      </c>
      <c r="D115" s="297">
        <v>165533</v>
      </c>
      <c r="E115" s="298"/>
      <c r="F115" s="169">
        <v>5697</v>
      </c>
      <c r="G115" s="215">
        <v>3.5642783853449789</v>
      </c>
    </row>
    <row r="116" spans="1:7" ht="15" customHeight="1" x14ac:dyDescent="0.3">
      <c r="A116" s="136"/>
      <c r="B116" s="299" t="s">
        <v>175</v>
      </c>
      <c r="C116" s="166">
        <v>100692</v>
      </c>
      <c r="D116" s="167">
        <v>103992</v>
      </c>
      <c r="E116" s="300"/>
      <c r="F116" s="167">
        <v>3300</v>
      </c>
      <c r="G116" s="215">
        <v>3.2773209391014184</v>
      </c>
    </row>
    <row r="117" spans="1:7" ht="15" customHeight="1" x14ac:dyDescent="0.3">
      <c r="A117" s="136"/>
      <c r="B117" s="142" t="s">
        <v>176</v>
      </c>
      <c r="C117" s="166">
        <v>69009</v>
      </c>
      <c r="D117" s="167">
        <v>68015</v>
      </c>
      <c r="E117" s="300"/>
      <c r="F117" s="322">
        <v>-994</v>
      </c>
      <c r="G117" s="215">
        <v>-1.4403918329493255</v>
      </c>
    </row>
    <row r="118" spans="1:7" ht="15" customHeight="1" x14ac:dyDescent="0.3">
      <c r="A118" s="136"/>
      <c r="B118" s="79" t="s">
        <v>105</v>
      </c>
      <c r="C118" s="302">
        <v>36876</v>
      </c>
      <c r="D118" s="303">
        <v>36542</v>
      </c>
      <c r="E118" s="304"/>
      <c r="F118" s="303">
        <v>-334</v>
      </c>
      <c r="G118" s="233">
        <v>-0.90573814947391262</v>
      </c>
    </row>
    <row r="119" spans="1:7" ht="15" customHeight="1" x14ac:dyDescent="0.3">
      <c r="A119" s="136"/>
      <c r="B119" s="79" t="s">
        <v>177</v>
      </c>
      <c r="C119" s="302">
        <v>32133</v>
      </c>
      <c r="D119" s="303">
        <v>31473</v>
      </c>
      <c r="E119" s="305"/>
      <c r="F119" s="324">
        <v>-660</v>
      </c>
      <c r="G119" s="233">
        <v>-2.0539632153860516</v>
      </c>
    </row>
    <row r="120" spans="1:7" ht="15" customHeight="1" x14ac:dyDescent="0.3">
      <c r="A120" s="136"/>
      <c r="B120" s="142" t="s">
        <v>178</v>
      </c>
      <c r="C120" s="166">
        <v>31683</v>
      </c>
      <c r="D120" s="167">
        <v>35977</v>
      </c>
      <c r="E120" s="306"/>
      <c r="F120" s="307">
        <v>4294</v>
      </c>
      <c r="G120" s="308">
        <v>13.55300950036297</v>
      </c>
    </row>
    <row r="121" spans="1:7" ht="15" customHeight="1" x14ac:dyDescent="0.3">
      <c r="A121" s="136"/>
      <c r="B121" s="309"/>
      <c r="C121" s="310"/>
      <c r="D121" s="311"/>
      <c r="E121" s="312"/>
      <c r="F121" s="313"/>
      <c r="G121" s="308"/>
    </row>
    <row r="122" spans="1:7" ht="15" customHeight="1" x14ac:dyDescent="0.3">
      <c r="A122" s="136"/>
      <c r="B122" s="299" t="s">
        <v>179</v>
      </c>
      <c r="C122" s="166">
        <v>2785</v>
      </c>
      <c r="D122" s="167">
        <v>2866</v>
      </c>
      <c r="E122" s="314"/>
      <c r="F122" s="301">
        <v>81</v>
      </c>
      <c r="G122" s="215">
        <v>2.9084380610412923</v>
      </c>
    </row>
    <row r="123" spans="1:7" ht="15" customHeight="1" x14ac:dyDescent="0.3">
      <c r="A123" s="136"/>
      <c r="B123" s="142" t="s">
        <v>176</v>
      </c>
      <c r="C123" s="166">
        <v>836</v>
      </c>
      <c r="D123" s="167">
        <v>786</v>
      </c>
      <c r="E123" s="314"/>
      <c r="F123" s="301">
        <v>-50</v>
      </c>
      <c r="G123" s="215">
        <v>-5.9808612440191391</v>
      </c>
    </row>
    <row r="124" spans="1:7" ht="15" customHeight="1" x14ac:dyDescent="0.3">
      <c r="A124" s="136"/>
      <c r="B124" s="79" t="s">
        <v>105</v>
      </c>
      <c r="C124" s="302">
        <v>551</v>
      </c>
      <c r="D124" s="303">
        <v>531</v>
      </c>
      <c r="E124" s="304"/>
      <c r="F124" s="107">
        <v>-20</v>
      </c>
      <c r="G124" s="233">
        <v>-3.6297640653357535</v>
      </c>
    </row>
    <row r="125" spans="1:7" ht="15" customHeight="1" x14ac:dyDescent="0.3">
      <c r="A125" s="136"/>
      <c r="B125" s="79" t="s">
        <v>177</v>
      </c>
      <c r="C125" s="302">
        <v>285</v>
      </c>
      <c r="D125" s="303">
        <v>255</v>
      </c>
      <c r="E125" s="304"/>
      <c r="F125" s="107">
        <v>-30</v>
      </c>
      <c r="G125" s="233">
        <v>-10.526315789473683</v>
      </c>
    </row>
    <row r="126" spans="1:7" ht="15" customHeight="1" x14ac:dyDescent="0.3">
      <c r="A126" s="222"/>
      <c r="B126" s="142" t="s">
        <v>180</v>
      </c>
      <c r="C126" s="166">
        <v>1949</v>
      </c>
      <c r="D126" s="167">
        <v>2080</v>
      </c>
      <c r="E126" s="315"/>
      <c r="F126" s="301">
        <v>131</v>
      </c>
      <c r="G126" s="215">
        <v>6.7213955874807594</v>
      </c>
    </row>
    <row r="127" spans="1:7" ht="15" customHeight="1" x14ac:dyDescent="0.3">
      <c r="A127" s="222"/>
      <c r="B127" s="309"/>
      <c r="C127" s="316"/>
      <c r="D127" s="317"/>
      <c r="E127" s="312"/>
      <c r="F127" s="313"/>
      <c r="G127" s="318"/>
    </row>
    <row r="128" spans="1:7" ht="15" customHeight="1" x14ac:dyDescent="0.3">
      <c r="A128" s="222"/>
      <c r="B128" s="299" t="s">
        <v>181</v>
      </c>
      <c r="C128" s="319">
        <v>56359</v>
      </c>
      <c r="D128" s="167">
        <v>58675</v>
      </c>
      <c r="E128" s="168"/>
      <c r="F128" s="169">
        <v>2316</v>
      </c>
      <c r="G128" s="215">
        <v>4.1093702869106981</v>
      </c>
    </row>
    <row r="129" spans="1:10" ht="15" customHeight="1" x14ac:dyDescent="0.3">
      <c r="A129" s="222"/>
      <c r="B129" s="320" t="s">
        <v>104</v>
      </c>
      <c r="C129" s="319">
        <v>28766</v>
      </c>
      <c r="D129" s="167">
        <v>29269</v>
      </c>
      <c r="E129" s="321"/>
      <c r="F129" s="322">
        <v>503</v>
      </c>
      <c r="G129" s="215">
        <v>1.7485920878815269</v>
      </c>
    </row>
    <row r="130" spans="1:10" ht="15" customHeight="1" x14ac:dyDescent="0.3">
      <c r="A130" s="222"/>
      <c r="B130" s="79" t="s">
        <v>105</v>
      </c>
      <c r="C130" s="302">
        <v>15364</v>
      </c>
      <c r="D130" s="303">
        <v>15709</v>
      </c>
      <c r="E130" s="323"/>
      <c r="F130" s="107">
        <v>345</v>
      </c>
      <c r="G130" s="233">
        <v>2.2455089820359282</v>
      </c>
    </row>
    <row r="131" spans="1:10" ht="15" customHeight="1" x14ac:dyDescent="0.3">
      <c r="A131" s="222"/>
      <c r="B131" s="79" t="s">
        <v>177</v>
      </c>
      <c r="C131" s="302">
        <v>13402</v>
      </c>
      <c r="D131" s="303">
        <v>13560</v>
      </c>
      <c r="E131" s="323"/>
      <c r="F131" s="324">
        <v>158</v>
      </c>
      <c r="G131" s="233">
        <v>1.178928518131622</v>
      </c>
    </row>
    <row r="132" spans="1:10" ht="15" customHeight="1" x14ac:dyDescent="0.3">
      <c r="A132" s="222"/>
      <c r="B132" s="320" t="s">
        <v>109</v>
      </c>
      <c r="C132" s="166">
        <v>27593</v>
      </c>
      <c r="D132" s="167">
        <v>29406</v>
      </c>
      <c r="E132" s="168"/>
      <c r="F132" s="169">
        <v>1813</v>
      </c>
      <c r="G132" s="215">
        <v>6.570507012648136</v>
      </c>
    </row>
    <row r="133" spans="1:10" ht="15" customHeight="1" x14ac:dyDescent="0.3">
      <c r="A133" s="236"/>
      <c r="B133" s="325"/>
      <c r="C133" s="187"/>
      <c r="D133" s="289"/>
      <c r="E133" s="294"/>
      <c r="F133" s="189"/>
      <c r="G133" s="220"/>
    </row>
    <row r="134" spans="1:10" ht="36" customHeight="1" x14ac:dyDescent="0.3">
      <c r="A134" s="841">
        <v>19</v>
      </c>
      <c r="B134" s="326" t="s">
        <v>182</v>
      </c>
      <c r="C134" s="327">
        <v>22555</v>
      </c>
      <c r="D134" s="328">
        <v>24159</v>
      </c>
      <c r="E134" s="329"/>
      <c r="F134" s="330">
        <v>1604</v>
      </c>
      <c r="G134" s="331">
        <v>7.1115052094879188</v>
      </c>
    </row>
    <row r="135" spans="1:10" ht="15" customHeight="1" x14ac:dyDescent="0.3">
      <c r="A135" s="841"/>
      <c r="B135" s="332" t="s">
        <v>104</v>
      </c>
      <c r="C135" s="327">
        <v>5980</v>
      </c>
      <c r="D135" s="328">
        <v>6169</v>
      </c>
      <c r="E135" s="329"/>
      <c r="F135" s="330">
        <v>189</v>
      </c>
      <c r="G135" s="331">
        <v>3.1605351170568561</v>
      </c>
      <c r="H135" s="96"/>
      <c r="I135" s="96"/>
    </row>
    <row r="136" spans="1:10" ht="15" customHeight="1" x14ac:dyDescent="0.3">
      <c r="A136" s="841"/>
      <c r="B136" s="333" t="s">
        <v>105</v>
      </c>
      <c r="C136" s="327">
        <v>1877</v>
      </c>
      <c r="D136" s="328">
        <v>1950</v>
      </c>
      <c r="E136" s="329"/>
      <c r="F136" s="330">
        <v>73</v>
      </c>
      <c r="G136" s="331">
        <v>3.8891848694725626</v>
      </c>
      <c r="H136" s="334"/>
      <c r="I136" s="96"/>
    </row>
    <row r="137" spans="1:10" ht="15" customHeight="1" x14ac:dyDescent="0.3">
      <c r="A137" s="841"/>
      <c r="B137" s="335" t="s">
        <v>183</v>
      </c>
      <c r="C137" s="336">
        <v>1223</v>
      </c>
      <c r="D137" s="337">
        <v>1276</v>
      </c>
      <c r="E137" s="338"/>
      <c r="F137" s="339">
        <v>53</v>
      </c>
      <c r="G137" s="340">
        <v>4.3336058871627152</v>
      </c>
      <c r="H137" s="96"/>
      <c r="I137" s="96"/>
      <c r="J137" s="96"/>
    </row>
    <row r="138" spans="1:10" ht="15" customHeight="1" x14ac:dyDescent="0.3">
      <c r="A138" s="841"/>
      <c r="B138" s="335" t="s">
        <v>184</v>
      </c>
      <c r="C138" s="336">
        <v>654</v>
      </c>
      <c r="D138" s="337">
        <v>674</v>
      </c>
      <c r="E138" s="338"/>
      <c r="F138" s="339">
        <v>20</v>
      </c>
      <c r="G138" s="340">
        <v>3.0581039755351682</v>
      </c>
      <c r="I138" s="96"/>
    </row>
    <row r="139" spans="1:10" ht="15" customHeight="1" x14ac:dyDescent="0.3">
      <c r="A139" s="841"/>
      <c r="B139" s="333" t="s">
        <v>177</v>
      </c>
      <c r="C139" s="327">
        <v>4103</v>
      </c>
      <c r="D139" s="328">
        <v>4219</v>
      </c>
      <c r="E139" s="329"/>
      <c r="F139" s="330">
        <v>116</v>
      </c>
      <c r="G139" s="331">
        <v>2.8271996100414332</v>
      </c>
      <c r="H139" s="341"/>
      <c r="I139" s="96"/>
    </row>
    <row r="140" spans="1:10" ht="15" customHeight="1" x14ac:dyDescent="0.3">
      <c r="A140" s="841"/>
      <c r="B140" s="335" t="s">
        <v>183</v>
      </c>
      <c r="C140" s="336">
        <v>2802</v>
      </c>
      <c r="D140" s="337">
        <v>2892</v>
      </c>
      <c r="E140" s="338"/>
      <c r="F140" s="339">
        <v>90</v>
      </c>
      <c r="G140" s="340">
        <v>3.2119914346895073</v>
      </c>
      <c r="I140" s="96"/>
    </row>
    <row r="141" spans="1:10" ht="15" customHeight="1" x14ac:dyDescent="0.3">
      <c r="A141" s="841"/>
      <c r="B141" s="335" t="s">
        <v>184</v>
      </c>
      <c r="C141" s="336">
        <v>1301</v>
      </c>
      <c r="D141" s="337">
        <v>1327</v>
      </c>
      <c r="E141" s="338"/>
      <c r="F141" s="339">
        <v>26</v>
      </c>
      <c r="G141" s="340">
        <v>1.9984627209838586</v>
      </c>
      <c r="H141" s="96"/>
      <c r="I141" s="96"/>
    </row>
    <row r="142" spans="1:10" ht="15" customHeight="1" x14ac:dyDescent="0.3">
      <c r="A142" s="841"/>
      <c r="B142" s="332" t="s">
        <v>109</v>
      </c>
      <c r="C142" s="327">
        <v>16575</v>
      </c>
      <c r="D142" s="328">
        <v>17990</v>
      </c>
      <c r="E142" s="329"/>
      <c r="F142" s="330">
        <v>1415</v>
      </c>
      <c r="G142" s="331">
        <v>8.5369532428355956</v>
      </c>
      <c r="H142" s="341"/>
      <c r="I142" s="96"/>
    </row>
    <row r="143" spans="1:10" ht="15" customHeight="1" x14ac:dyDescent="0.3">
      <c r="A143" s="841"/>
      <c r="B143" s="335" t="s">
        <v>183</v>
      </c>
      <c r="C143" s="336">
        <v>10836</v>
      </c>
      <c r="D143" s="337">
        <v>11804</v>
      </c>
      <c r="E143" s="338"/>
      <c r="F143" s="339">
        <v>968</v>
      </c>
      <c r="G143" s="340">
        <v>8.9331856773717249</v>
      </c>
      <c r="I143" s="96"/>
    </row>
    <row r="144" spans="1:10" ht="15" customHeight="1" x14ac:dyDescent="0.3">
      <c r="A144" s="842"/>
      <c r="B144" s="342" t="s">
        <v>184</v>
      </c>
      <c r="C144" s="343">
        <v>5739</v>
      </c>
      <c r="D144" s="344">
        <v>6186</v>
      </c>
      <c r="E144" s="345"/>
      <c r="F144" s="346">
        <v>447</v>
      </c>
      <c r="G144" s="347">
        <v>7.7888133821223215</v>
      </c>
      <c r="I144" s="96"/>
    </row>
    <row r="145" spans="1:9" ht="41.25" customHeight="1" x14ac:dyDescent="0.3">
      <c r="A145" s="841">
        <v>20</v>
      </c>
      <c r="B145" s="348" t="s">
        <v>185</v>
      </c>
      <c r="C145" s="327">
        <v>14861</v>
      </c>
      <c r="D145" s="328">
        <v>15972</v>
      </c>
      <c r="E145" s="329"/>
      <c r="F145" s="330">
        <v>1111</v>
      </c>
      <c r="G145" s="331">
        <v>7.4759437453737974</v>
      </c>
      <c r="H145" s="349"/>
    </row>
    <row r="146" spans="1:9" ht="15" customHeight="1" x14ac:dyDescent="0.3">
      <c r="A146" s="841"/>
      <c r="B146" s="350" t="s">
        <v>186</v>
      </c>
      <c r="C146" s="336">
        <v>1628</v>
      </c>
      <c r="D146" s="337">
        <v>1741</v>
      </c>
      <c r="E146" s="338"/>
      <c r="F146" s="339">
        <v>113</v>
      </c>
      <c r="G146" s="340">
        <v>6.9410319410319419</v>
      </c>
      <c r="H146" s="171"/>
      <c r="I146" s="96"/>
    </row>
    <row r="147" spans="1:9" ht="15" customHeight="1" x14ac:dyDescent="0.3">
      <c r="A147" s="841"/>
      <c r="B147" s="350" t="s">
        <v>187</v>
      </c>
      <c r="C147" s="336">
        <v>913</v>
      </c>
      <c r="D147" s="337">
        <v>990</v>
      </c>
      <c r="E147" s="338"/>
      <c r="F147" s="339">
        <v>77</v>
      </c>
      <c r="G147" s="340">
        <v>8.4337349397590362</v>
      </c>
      <c r="H147" s="171"/>
      <c r="I147" s="96"/>
    </row>
    <row r="148" spans="1:9" ht="15" customHeight="1" x14ac:dyDescent="0.3">
      <c r="A148" s="841"/>
      <c r="B148" s="350" t="s">
        <v>188</v>
      </c>
      <c r="C148" s="336">
        <v>1241</v>
      </c>
      <c r="D148" s="337">
        <v>1307</v>
      </c>
      <c r="E148" s="338"/>
      <c r="F148" s="339">
        <v>66</v>
      </c>
      <c r="G148" s="340">
        <v>5.3182917002417405</v>
      </c>
      <c r="H148" s="171"/>
      <c r="I148" s="96"/>
    </row>
    <row r="149" spans="1:9" ht="15" customHeight="1" x14ac:dyDescent="0.3">
      <c r="A149" s="841"/>
      <c r="B149" s="350" t="s">
        <v>189</v>
      </c>
      <c r="C149" s="336">
        <v>15</v>
      </c>
      <c r="D149" s="337">
        <v>15</v>
      </c>
      <c r="E149" s="338"/>
      <c r="F149" s="339">
        <v>0</v>
      </c>
      <c r="G149" s="340">
        <v>0</v>
      </c>
      <c r="H149" s="171"/>
      <c r="I149" s="96"/>
    </row>
    <row r="150" spans="1:9" ht="15" customHeight="1" x14ac:dyDescent="0.3">
      <c r="A150" s="841"/>
      <c r="B150" s="350" t="s">
        <v>190</v>
      </c>
      <c r="C150" s="336">
        <v>330</v>
      </c>
      <c r="D150" s="337">
        <v>352</v>
      </c>
      <c r="E150" s="338"/>
      <c r="F150" s="339">
        <v>22</v>
      </c>
      <c r="G150" s="340">
        <v>6.666666666666667</v>
      </c>
      <c r="H150" s="171"/>
      <c r="I150" s="96"/>
    </row>
    <row r="151" spans="1:9" ht="15" customHeight="1" x14ac:dyDescent="0.3">
      <c r="A151" s="841"/>
      <c r="B151" s="350" t="s">
        <v>191</v>
      </c>
      <c r="C151" s="336">
        <v>215</v>
      </c>
      <c r="D151" s="337">
        <v>231</v>
      </c>
      <c r="E151" s="338"/>
      <c r="F151" s="339">
        <v>16</v>
      </c>
      <c r="G151" s="340">
        <v>7.441860465116279</v>
      </c>
      <c r="H151" s="171"/>
      <c r="I151" s="96"/>
    </row>
    <row r="152" spans="1:9" ht="15" customHeight="1" x14ac:dyDescent="0.3">
      <c r="A152" s="841"/>
      <c r="B152" s="350" t="s">
        <v>192</v>
      </c>
      <c r="C152" s="336">
        <v>1505</v>
      </c>
      <c r="D152" s="337">
        <v>1668</v>
      </c>
      <c r="E152" s="338"/>
      <c r="F152" s="339">
        <v>163</v>
      </c>
      <c r="G152" s="340">
        <v>10.830564784053157</v>
      </c>
      <c r="H152" s="171"/>
      <c r="I152" s="96"/>
    </row>
    <row r="153" spans="1:9" ht="15" customHeight="1" x14ac:dyDescent="0.3">
      <c r="A153" s="841"/>
      <c r="B153" s="350" t="s">
        <v>193</v>
      </c>
      <c r="C153" s="336">
        <v>30</v>
      </c>
      <c r="D153" s="337">
        <v>32</v>
      </c>
      <c r="E153" s="338"/>
      <c r="F153" s="339">
        <v>2</v>
      </c>
      <c r="G153" s="340">
        <v>6.666666666666667</v>
      </c>
      <c r="H153" s="171"/>
      <c r="I153" s="96"/>
    </row>
    <row r="154" spans="1:9" ht="15" customHeight="1" x14ac:dyDescent="0.3">
      <c r="A154" s="841"/>
      <c r="B154" s="350" t="s">
        <v>194</v>
      </c>
      <c r="C154" s="336">
        <v>2567</v>
      </c>
      <c r="D154" s="337">
        <v>2743</v>
      </c>
      <c r="E154" s="338"/>
      <c r="F154" s="339">
        <v>176</v>
      </c>
      <c r="G154" s="340">
        <v>6.8562524347487344</v>
      </c>
      <c r="H154" s="171"/>
      <c r="I154" s="96"/>
    </row>
    <row r="155" spans="1:9" ht="15" customHeight="1" x14ac:dyDescent="0.3">
      <c r="A155" s="841"/>
      <c r="B155" s="350" t="s">
        <v>195</v>
      </c>
      <c r="C155" s="336">
        <v>600</v>
      </c>
      <c r="D155" s="337">
        <v>632</v>
      </c>
      <c r="E155" s="338"/>
      <c r="F155" s="339">
        <v>32</v>
      </c>
      <c r="G155" s="340">
        <v>5.3333333333333339</v>
      </c>
      <c r="H155" s="171"/>
      <c r="I155" s="96"/>
    </row>
    <row r="156" spans="1:9" ht="15" customHeight="1" x14ac:dyDescent="0.3">
      <c r="A156" s="841"/>
      <c r="B156" s="350" t="s">
        <v>196</v>
      </c>
      <c r="C156" s="336">
        <v>2378</v>
      </c>
      <c r="D156" s="337">
        <v>2591</v>
      </c>
      <c r="E156" s="338"/>
      <c r="F156" s="339">
        <v>213</v>
      </c>
      <c r="G156" s="340">
        <v>8.9571068124474351</v>
      </c>
      <c r="H156" s="171"/>
      <c r="I156" s="96"/>
    </row>
    <row r="157" spans="1:9" ht="15" customHeight="1" x14ac:dyDescent="0.3">
      <c r="A157" s="841"/>
      <c r="B157" s="350" t="s">
        <v>197</v>
      </c>
      <c r="C157" s="336">
        <v>1306</v>
      </c>
      <c r="D157" s="337">
        <v>1358</v>
      </c>
      <c r="E157" s="338"/>
      <c r="F157" s="339">
        <v>52</v>
      </c>
      <c r="G157" s="340">
        <v>3.9816232771822357</v>
      </c>
      <c r="H157" s="171"/>
      <c r="I157" s="96"/>
    </row>
    <row r="158" spans="1:9" ht="15" customHeight="1" x14ac:dyDescent="0.3">
      <c r="A158" s="841"/>
      <c r="B158" s="350" t="s">
        <v>198</v>
      </c>
      <c r="C158" s="336">
        <v>184</v>
      </c>
      <c r="D158" s="337">
        <v>200</v>
      </c>
      <c r="E158" s="338"/>
      <c r="F158" s="339">
        <v>16</v>
      </c>
      <c r="G158" s="340">
        <v>8.695652173913043</v>
      </c>
      <c r="H158" s="171"/>
      <c r="I158" s="96"/>
    </row>
    <row r="159" spans="1:9" ht="15" customHeight="1" x14ac:dyDescent="0.3">
      <c r="A159" s="841"/>
      <c r="B159" s="350" t="s">
        <v>199</v>
      </c>
      <c r="C159" s="336">
        <v>41</v>
      </c>
      <c r="D159" s="337">
        <v>42</v>
      </c>
      <c r="E159" s="338"/>
      <c r="F159" s="339">
        <v>1</v>
      </c>
      <c r="G159" s="340">
        <v>2.4390243902439024</v>
      </c>
      <c r="H159" s="171"/>
      <c r="I159" s="96"/>
    </row>
    <row r="160" spans="1:9" ht="15" customHeight="1" x14ac:dyDescent="0.3">
      <c r="A160" s="841"/>
      <c r="B160" s="350" t="s">
        <v>200</v>
      </c>
      <c r="C160" s="336">
        <v>1607</v>
      </c>
      <c r="D160" s="337">
        <v>1761</v>
      </c>
      <c r="E160" s="338"/>
      <c r="F160" s="339">
        <v>154</v>
      </c>
      <c r="G160" s="340">
        <v>9.5830740510267578</v>
      </c>
      <c r="H160" s="171"/>
      <c r="I160" s="96"/>
    </row>
    <row r="161" spans="1:9" ht="15" customHeight="1" x14ac:dyDescent="0.3">
      <c r="A161" s="842"/>
      <c r="B161" s="351" t="s">
        <v>201</v>
      </c>
      <c r="C161" s="343">
        <v>301</v>
      </c>
      <c r="D161" s="344">
        <v>309</v>
      </c>
      <c r="E161" s="345"/>
      <c r="F161" s="346">
        <v>8</v>
      </c>
      <c r="G161" s="347">
        <v>2.6578073089700998</v>
      </c>
      <c r="H161" s="171"/>
      <c r="I161" s="96"/>
    </row>
    <row r="162" spans="1:9" ht="15" customHeight="1" x14ac:dyDescent="0.35">
      <c r="A162" s="58" t="s">
        <v>202</v>
      </c>
      <c r="B162" s="352" t="s">
        <v>203</v>
      </c>
      <c r="C162" s="353"/>
      <c r="D162" s="354"/>
      <c r="E162" s="355"/>
      <c r="F162" s="356"/>
      <c r="G162" s="357"/>
    </row>
    <row r="163" spans="1:9" ht="15" customHeight="1" x14ac:dyDescent="0.35">
      <c r="A163" s="151"/>
      <c r="B163" s="249"/>
      <c r="C163" s="191"/>
      <c r="D163" s="192"/>
      <c r="E163" s="193"/>
      <c r="F163" s="194"/>
      <c r="G163" s="195"/>
    </row>
    <row r="164" spans="1:9" ht="21.75" customHeight="1" x14ac:dyDescent="0.3">
      <c r="A164" s="136">
        <v>1</v>
      </c>
      <c r="B164" s="249" t="s">
        <v>204</v>
      </c>
      <c r="C164" s="117">
        <v>24259.1</v>
      </c>
      <c r="D164" s="246">
        <v>25163.7</v>
      </c>
      <c r="E164" s="358"/>
      <c r="F164" s="359">
        <v>904.60000000000218</v>
      </c>
      <c r="G164" s="215">
        <v>3.7289099760502333</v>
      </c>
    </row>
    <row r="165" spans="1:9" ht="11.25" customHeight="1" x14ac:dyDescent="0.35">
      <c r="A165" s="269"/>
      <c r="B165" s="360"/>
      <c r="C165" s="361"/>
      <c r="D165" s="362"/>
      <c r="E165" s="363"/>
      <c r="F165" s="364"/>
      <c r="G165" s="365"/>
    </row>
    <row r="166" spans="1:9" ht="15" hidden="1" customHeight="1" x14ac:dyDescent="0.35">
      <c r="A166" s="814">
        <v>2</v>
      </c>
      <c r="B166" s="366"/>
      <c r="C166" s="191">
        <v>0</v>
      </c>
      <c r="D166" s="192"/>
      <c r="E166" s="193"/>
      <c r="F166" s="194"/>
      <c r="G166" s="367"/>
    </row>
    <row r="167" spans="1:9" ht="15" hidden="1" customHeight="1" x14ac:dyDescent="0.35">
      <c r="A167" s="815"/>
      <c r="B167" s="249" t="s">
        <v>205</v>
      </c>
      <c r="C167" s="368" t="s">
        <v>206</v>
      </c>
      <c r="D167" s="369" t="s">
        <v>206</v>
      </c>
      <c r="E167" s="370"/>
      <c r="F167" s="371" t="s">
        <v>206</v>
      </c>
      <c r="G167" s="372" t="s">
        <v>206</v>
      </c>
    </row>
    <row r="168" spans="1:9" ht="15" hidden="1" customHeight="1" x14ac:dyDescent="0.35">
      <c r="A168" s="269"/>
      <c r="B168" s="249"/>
      <c r="C168" s="373">
        <v>0</v>
      </c>
      <c r="D168" s="374"/>
      <c r="E168" s="253"/>
      <c r="F168" s="375"/>
      <c r="G168" s="250"/>
    </row>
    <row r="169" spans="1:9" ht="15" hidden="1" customHeight="1" x14ac:dyDescent="0.35">
      <c r="A169" s="816">
        <v>3</v>
      </c>
      <c r="B169" s="366"/>
      <c r="C169" s="376">
        <v>0</v>
      </c>
      <c r="D169" s="192"/>
      <c r="E169" s="377"/>
      <c r="F169" s="378"/>
      <c r="G169" s="367"/>
    </row>
    <row r="170" spans="1:9" ht="15" hidden="1" customHeight="1" x14ac:dyDescent="0.35">
      <c r="A170" s="817"/>
      <c r="B170" s="249" t="s">
        <v>207</v>
      </c>
      <c r="C170" s="379" t="s">
        <v>206</v>
      </c>
      <c r="D170" s="380" t="s">
        <v>206</v>
      </c>
      <c r="E170" s="381"/>
      <c r="F170" s="382" t="s">
        <v>206</v>
      </c>
      <c r="G170" s="383" t="s">
        <v>206</v>
      </c>
    </row>
    <row r="171" spans="1:9" ht="24.75" customHeight="1" x14ac:dyDescent="0.35">
      <c r="A171" s="151">
        <v>2</v>
      </c>
      <c r="B171" s="65" t="s">
        <v>208</v>
      </c>
      <c r="C171" s="245">
        <v>109.5</v>
      </c>
      <c r="D171" s="246">
        <v>110.61</v>
      </c>
      <c r="E171" s="291"/>
      <c r="F171" s="248">
        <v>1.1099999999999994</v>
      </c>
      <c r="G171" s="367"/>
    </row>
    <row r="172" spans="1:9" ht="19.5" customHeight="1" x14ac:dyDescent="0.35">
      <c r="A172" s="136"/>
      <c r="B172" s="72" t="s">
        <v>209</v>
      </c>
      <c r="C172" s="245">
        <v>-0.8</v>
      </c>
      <c r="D172" s="246">
        <v>-0.1</v>
      </c>
      <c r="E172" s="291"/>
      <c r="F172" s="248">
        <v>0.70000000000000007</v>
      </c>
      <c r="G172" s="250"/>
    </row>
    <row r="173" spans="1:9" ht="18" customHeight="1" x14ac:dyDescent="0.35">
      <c r="A173" s="160"/>
      <c r="B173" s="360" t="s">
        <v>210</v>
      </c>
      <c r="C173" s="245">
        <v>0.5</v>
      </c>
      <c r="D173" s="246">
        <v>1</v>
      </c>
      <c r="E173" s="291"/>
      <c r="F173" s="248">
        <v>0.5</v>
      </c>
      <c r="G173" s="365"/>
    </row>
    <row r="174" spans="1:9" ht="23.25" customHeight="1" x14ac:dyDescent="0.35">
      <c r="A174" s="806">
        <v>3</v>
      </c>
      <c r="B174" s="151" t="s">
        <v>211</v>
      </c>
      <c r="C174" s="191"/>
      <c r="D174" s="192"/>
      <c r="E174" s="193"/>
      <c r="F174" s="194"/>
      <c r="G174" s="195"/>
    </row>
    <row r="175" spans="1:9" ht="15" customHeight="1" x14ac:dyDescent="0.35">
      <c r="A175" s="807"/>
      <c r="B175" s="251" t="s">
        <v>212</v>
      </c>
      <c r="C175" s="402">
        <v>3.68</v>
      </c>
      <c r="D175" s="403">
        <v>3.77</v>
      </c>
      <c r="E175" s="404"/>
      <c r="F175" s="405">
        <v>8.9999999999999858E-2</v>
      </c>
      <c r="G175" s="127"/>
    </row>
    <row r="176" spans="1:9" ht="15" customHeight="1" x14ac:dyDescent="0.35">
      <c r="A176" s="807"/>
      <c r="B176" s="251" t="s">
        <v>213</v>
      </c>
      <c r="C176" s="402">
        <v>4.28</v>
      </c>
      <c r="D176" s="403">
        <v>4.5599999999999996</v>
      </c>
      <c r="E176" s="404"/>
      <c r="F176" s="405">
        <v>0.27999999999999936</v>
      </c>
      <c r="G176" s="127"/>
    </row>
    <row r="177" spans="1:13" ht="15" customHeight="1" x14ac:dyDescent="0.35">
      <c r="A177" s="807"/>
      <c r="B177" s="251" t="s">
        <v>214</v>
      </c>
      <c r="C177" s="402">
        <v>4.09</v>
      </c>
      <c r="D177" s="403">
        <v>4.33</v>
      </c>
      <c r="E177" s="404"/>
      <c r="F177" s="405">
        <v>0.24000000000000021</v>
      </c>
      <c r="G177" s="127"/>
    </row>
    <row r="178" spans="1:13" ht="25.5" customHeight="1" x14ac:dyDescent="0.35">
      <c r="A178" s="808"/>
      <c r="B178" s="271" t="s">
        <v>215</v>
      </c>
      <c r="C178" s="406">
        <v>4.3</v>
      </c>
      <c r="D178" s="407">
        <v>4.5</v>
      </c>
      <c r="E178" s="408"/>
      <c r="F178" s="409">
        <v>0.20000000000000018</v>
      </c>
      <c r="G178" s="135"/>
    </row>
    <row r="179" spans="1:13" ht="15" customHeight="1" x14ac:dyDescent="0.35">
      <c r="A179" s="386" t="s">
        <v>216</v>
      </c>
      <c r="B179" s="387" t="s">
        <v>217</v>
      </c>
      <c r="C179" s="353"/>
      <c r="D179" s="354"/>
      <c r="E179" s="355"/>
      <c r="F179" s="356"/>
      <c r="G179" s="357"/>
    </row>
    <row r="180" spans="1:13" ht="20.25" customHeight="1" x14ac:dyDescent="0.3">
      <c r="A180" s="388">
        <v>1</v>
      </c>
      <c r="B180" s="249" t="s">
        <v>218</v>
      </c>
      <c r="C180" s="327">
        <v>6290420</v>
      </c>
      <c r="D180" s="167">
        <v>6401415</v>
      </c>
      <c r="E180" s="389"/>
      <c r="F180" s="214">
        <v>110995</v>
      </c>
      <c r="G180" s="215">
        <v>1.7645085701749645</v>
      </c>
    </row>
    <row r="181" spans="1:13" ht="20.25" customHeight="1" x14ac:dyDescent="0.3">
      <c r="A181" s="165">
        <v>2</v>
      </c>
      <c r="B181" s="249" t="s">
        <v>219</v>
      </c>
      <c r="C181" s="327">
        <v>2795156</v>
      </c>
      <c r="D181" s="167">
        <v>2842997</v>
      </c>
      <c r="E181" s="389"/>
      <c r="F181" s="214">
        <v>47841</v>
      </c>
      <c r="G181" s="215">
        <v>1.7115681557666191</v>
      </c>
    </row>
    <row r="182" spans="1:13" ht="6.75" customHeight="1" x14ac:dyDescent="0.35">
      <c r="A182" s="390"/>
      <c r="B182" s="391"/>
      <c r="C182" s="410"/>
      <c r="D182" s="411"/>
      <c r="E182" s="412"/>
      <c r="F182" s="413"/>
      <c r="G182" s="414"/>
    </row>
    <row r="183" spans="1:13" ht="6.75" customHeight="1" x14ac:dyDescent="0.35">
      <c r="A183" s="392"/>
      <c r="B183" s="393"/>
      <c r="C183" s="393"/>
      <c r="D183" s="394"/>
      <c r="E183" s="393"/>
      <c r="F183" s="393"/>
      <c r="G183" s="394"/>
    </row>
    <row r="184" spans="1:13" ht="21.75" customHeight="1" x14ac:dyDescent="0.3">
      <c r="A184" s="838" t="s">
        <v>231</v>
      </c>
      <c r="B184" s="838"/>
      <c r="C184" s="838"/>
      <c r="D184" s="838"/>
      <c r="E184" s="838"/>
      <c r="F184" s="838"/>
      <c r="G184" s="838"/>
    </row>
    <row r="185" spans="1:13" ht="32.25" customHeight="1" x14ac:dyDescent="0.35">
      <c r="A185" s="835" t="s">
        <v>232</v>
      </c>
      <c r="B185" s="835"/>
      <c r="C185" s="835"/>
      <c r="D185" s="835"/>
      <c r="E185" s="835"/>
      <c r="F185" s="835"/>
      <c r="G185" s="835"/>
      <c r="H185" s="803"/>
      <c r="I185" s="803"/>
      <c r="J185" s="803"/>
      <c r="K185" s="803"/>
      <c r="L185" s="803"/>
      <c r="M185" s="803"/>
    </row>
    <row r="186" spans="1:13" ht="31.5" customHeight="1" x14ac:dyDescent="0.35">
      <c r="A186" s="835" t="s">
        <v>233</v>
      </c>
      <c r="B186" s="835"/>
      <c r="C186" s="835"/>
      <c r="D186" s="835"/>
      <c r="E186" s="835"/>
      <c r="F186" s="835"/>
      <c r="G186" s="835"/>
      <c r="H186" s="395"/>
      <c r="I186" s="395"/>
      <c r="J186" s="395"/>
      <c r="K186" s="395"/>
      <c r="L186" s="395"/>
      <c r="M186" s="395"/>
    </row>
    <row r="187" spans="1:13" ht="21.75" customHeight="1" x14ac:dyDescent="0.35">
      <c r="A187" s="834" t="s">
        <v>223</v>
      </c>
      <c r="B187" s="834"/>
      <c r="C187" s="834"/>
      <c r="D187" s="834"/>
      <c r="E187" s="834"/>
      <c r="F187" s="834"/>
      <c r="G187" s="834"/>
      <c r="H187" s="395"/>
      <c r="I187" s="395"/>
      <c r="J187" s="395"/>
      <c r="K187" s="395"/>
      <c r="L187" s="395"/>
      <c r="M187" s="395"/>
    </row>
    <row r="188" spans="1:13" ht="21.75" customHeight="1" x14ac:dyDescent="0.35">
      <c r="A188" s="834" t="s">
        <v>224</v>
      </c>
      <c r="B188" s="834"/>
      <c r="C188" s="834"/>
      <c r="D188" s="834"/>
      <c r="E188" s="834"/>
      <c r="F188" s="834"/>
      <c r="G188" s="834"/>
      <c r="H188" s="395"/>
      <c r="I188" s="395"/>
      <c r="J188" s="395"/>
      <c r="K188" s="395"/>
      <c r="L188" s="395"/>
      <c r="M188" s="395"/>
    </row>
    <row r="189" spans="1:13" ht="30.75" customHeight="1" x14ac:dyDescent="0.35">
      <c r="A189" s="835" t="s">
        <v>234</v>
      </c>
      <c r="B189" s="836"/>
      <c r="C189" s="836"/>
      <c r="D189" s="836"/>
      <c r="E189" s="836"/>
      <c r="F189" s="836"/>
      <c r="G189" s="836"/>
      <c r="H189" s="395"/>
      <c r="I189" s="395"/>
      <c r="J189" s="395"/>
      <c r="K189" s="395"/>
      <c r="L189" s="395"/>
      <c r="M189" s="395"/>
    </row>
    <row r="190" spans="1:13" ht="21.75" customHeight="1" x14ac:dyDescent="0.35">
      <c r="A190" s="396" t="s">
        <v>226</v>
      </c>
      <c r="B190" s="396"/>
      <c r="C190" s="396"/>
      <c r="D190" s="397"/>
      <c r="E190" s="396"/>
      <c r="F190" s="396"/>
      <c r="G190" s="397"/>
      <c r="H190" s="398"/>
      <c r="I190" s="398"/>
      <c r="J190" s="398"/>
      <c r="K190" s="398"/>
      <c r="L190" s="398"/>
      <c r="M190" s="398"/>
    </row>
    <row r="191" spans="1:13" ht="20.25" customHeight="1" x14ac:dyDescent="0.35">
      <c r="A191" s="837" t="s">
        <v>235</v>
      </c>
      <c r="B191" s="837"/>
      <c r="C191" s="837"/>
      <c r="D191" s="837"/>
      <c r="E191" s="837"/>
      <c r="F191" s="837"/>
      <c r="G191" s="837"/>
      <c r="H191" s="398"/>
      <c r="I191" s="398"/>
      <c r="J191" s="398"/>
      <c r="K191" s="398"/>
      <c r="L191" s="398"/>
      <c r="M191" s="398"/>
    </row>
    <row r="192" spans="1:13" ht="24" customHeight="1" x14ac:dyDescent="0.35">
      <c r="A192" s="834" t="s">
        <v>236</v>
      </c>
      <c r="B192" s="834"/>
      <c r="C192" s="834"/>
      <c r="D192" s="834"/>
      <c r="E192" s="834"/>
      <c r="F192" s="834"/>
      <c r="G192" s="834"/>
      <c r="H192" s="803"/>
      <c r="I192" s="803"/>
      <c r="J192" s="803"/>
      <c r="K192" s="803"/>
      <c r="L192" s="803"/>
      <c r="M192" s="803"/>
    </row>
    <row r="193" spans="1:13" ht="20.25" customHeight="1" x14ac:dyDescent="0.35">
      <c r="A193" s="399" t="s">
        <v>229</v>
      </c>
      <c r="B193" s="396"/>
      <c r="C193" s="396"/>
      <c r="D193" s="397"/>
      <c r="E193" s="396"/>
      <c r="F193" s="396"/>
      <c r="G193" s="397"/>
      <c r="H193" s="398"/>
      <c r="I193" s="398"/>
      <c r="J193" s="398"/>
      <c r="K193" s="398"/>
      <c r="L193" s="398"/>
      <c r="M193" s="398"/>
    </row>
    <row r="194" spans="1:13" ht="15" customHeight="1" x14ac:dyDescent="0.35">
      <c r="A194" s="398"/>
      <c r="B194" s="398"/>
      <c r="C194" s="400"/>
      <c r="D194" s="401"/>
      <c r="E194" s="398"/>
      <c r="F194" s="398"/>
      <c r="G194" s="401"/>
      <c r="H194" s="398"/>
      <c r="I194" s="398"/>
      <c r="J194" s="400"/>
      <c r="K194" s="398"/>
      <c r="L194" s="398"/>
      <c r="M194" s="398"/>
    </row>
    <row r="195" spans="1:13" ht="15.5" x14ac:dyDescent="0.35">
      <c r="A195" s="398"/>
      <c r="F195" s="400"/>
    </row>
  </sheetData>
  <mergeCells count="29">
    <mergeCell ref="B1:G1"/>
    <mergeCell ref="B2:G2"/>
    <mergeCell ref="A4:B5"/>
    <mergeCell ref="C4:C5"/>
    <mergeCell ref="D4:E5"/>
    <mergeCell ref="F4:G4"/>
    <mergeCell ref="A169:A170"/>
    <mergeCell ref="A174:A178"/>
    <mergeCell ref="A184:G184"/>
    <mergeCell ref="A185:G185"/>
    <mergeCell ref="A7:A11"/>
    <mergeCell ref="A20:A24"/>
    <mergeCell ref="A71:A74"/>
    <mergeCell ref="B71:B72"/>
    <mergeCell ref="A82:A83"/>
    <mergeCell ref="B82:B83"/>
    <mergeCell ref="A107:A111"/>
    <mergeCell ref="B107:B108"/>
    <mergeCell ref="A134:A144"/>
    <mergeCell ref="A145:A161"/>
    <mergeCell ref="A166:A167"/>
    <mergeCell ref="A192:G192"/>
    <mergeCell ref="H192:M192"/>
    <mergeCell ref="H185:M185"/>
    <mergeCell ref="A186:G186"/>
    <mergeCell ref="A188:G188"/>
    <mergeCell ref="A189:G189"/>
    <mergeCell ref="A191:G191"/>
    <mergeCell ref="A187:G18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3:X79"/>
  <sheetViews>
    <sheetView topLeftCell="A16" workbookViewId="0">
      <selection activeCell="F30" sqref="F30"/>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c r="L7" s="689"/>
      <c r="M7" s="689"/>
      <c r="N7" s="689"/>
      <c r="O7" s="689"/>
    </row>
    <row r="8" spans="3:19" ht="12" customHeight="1" thickBot="1" x14ac:dyDescent="0.4"/>
    <row r="9" spans="3:19" ht="15.65" customHeight="1" thickBot="1" x14ac:dyDescent="0.4">
      <c r="C9" s="723" t="s">
        <v>245</v>
      </c>
      <c r="D9" s="725" t="s">
        <v>246</v>
      </c>
      <c r="E9" s="726"/>
      <c r="F9" s="726"/>
      <c r="G9" s="726"/>
      <c r="H9" s="727"/>
      <c r="I9" s="728" t="s">
        <v>247</v>
      </c>
      <c r="K9" s="671"/>
      <c r="L9" s="671"/>
      <c r="M9" s="671"/>
      <c r="N9" s="671"/>
      <c r="O9" s="671"/>
    </row>
    <row r="10" spans="3:19" ht="15"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customHeight="1" x14ac:dyDescent="0.35">
      <c r="C11" s="724"/>
      <c r="D11" s="731" t="s">
        <v>253</v>
      </c>
      <c r="E11" s="732"/>
      <c r="F11" s="732"/>
      <c r="G11" s="732"/>
      <c r="H11" s="728"/>
      <c r="I11" s="730"/>
      <c r="K11" s="671"/>
      <c r="L11" s="671"/>
      <c r="M11" s="671"/>
      <c r="N11" s="671"/>
      <c r="O11" s="671"/>
      <c r="P11" s="671"/>
      <c r="R11">
        <v>30</v>
      </c>
      <c r="S11">
        <f>+D16</f>
        <v>3.0288E-4</v>
      </c>
    </row>
    <row r="12" spans="3:19" ht="2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f>IF(COTIZADOR!D18="HOMBRE",1,2)</f>
        <v>1</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f ca="1">COTIZADOR!D16</f>
        <v>57</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f>IF(COTIZADOR!D12&lt;250000,100000,1000000)</f>
        <v>100000</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f ca="1">+IF(D21=1,IF(D24=K10,VLOOKUP(D22,'ANEXO No.1'!B11:G76,2),IF('Titu C'!D24='Titu C'!L10,VLOOKUP(D22,'ANEXO No.1'!B11:G76,3),IF('Titu C'!D24='Titu C'!M10,VLOOKUP(D22,'ANEXO No.1'!B11:G76,4),IF('Titu C'!D24='Titu C'!N10,VLOOKUP(D22,'ANEXO No.1'!B11:G76,5),IF('Titu C'!D24='Titu C'!O10,VLOOKUP(D22,'ANEXO No.1'!B11:G76,6))))))*D24,IF(D24=K10,VLOOKUP(D22,'ANEXO No.1'!B11:G76,2),IF('Titu C'!D24='Titu C'!L10,VLOOKUP(D22,'ANEXO No.1'!B11:G76,3),IF('Titu C'!D24='Titu C'!M10,VLOOKUP(D22,'ANEXO No.1'!B11:G76,4),IF('Titu C'!D24='Titu C'!N10,VLOOKUP(D22,'ANEXO No.1'!B11:G76,5),IF('Titu C'!D24='Titu C'!O10,VLOOKUP(D22,'ANEXO No.1'!B11:G76,6))))))*D24*1.15)</f>
        <v>322.34399999999999</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f ca="1">SUM(E26:E29)</f>
        <v>322.34399999999999</v>
      </c>
      <c r="F30" s="639">
        <f ca="1">E30/(1-0.4)</f>
        <v>537.24</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f ca="1">+F30</f>
        <v>537.24</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3:X239"/>
  <sheetViews>
    <sheetView topLeftCell="A7" workbookViewId="0">
      <selection activeCell="F30" sqref="F30"/>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row>
    <row r="8" spans="3:19" ht="12" customHeight="1" x14ac:dyDescent="0.35"/>
    <row r="9" spans="3:19" ht="15.65" hidden="1" customHeight="1" thickBot="1" x14ac:dyDescent="0.4">
      <c r="C9" s="723" t="s">
        <v>245</v>
      </c>
      <c r="D9" s="725" t="s">
        <v>246</v>
      </c>
      <c r="E9" s="726"/>
      <c r="F9" s="726"/>
      <c r="G9" s="726"/>
      <c r="H9" s="727"/>
      <c r="I9" s="728" t="s">
        <v>247</v>
      </c>
      <c r="K9" s="671"/>
      <c r="L9" s="671"/>
      <c r="M9" s="671"/>
      <c r="N9" s="671"/>
      <c r="O9" s="671"/>
    </row>
    <row r="10" spans="3:19" ht="15" hidden="1"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hidden="1" customHeight="1" x14ac:dyDescent="0.35">
      <c r="C11" s="724"/>
      <c r="D11" s="731" t="s">
        <v>253</v>
      </c>
      <c r="E11" s="732"/>
      <c r="F11" s="732"/>
      <c r="G11" s="732"/>
      <c r="H11" s="728"/>
      <c r="I11" s="730"/>
      <c r="K11" s="671"/>
      <c r="L11" s="671"/>
      <c r="M11" s="671"/>
      <c r="N11" s="671"/>
      <c r="O11" s="671"/>
      <c r="P11" s="671"/>
      <c r="R11">
        <v>30</v>
      </c>
      <c r="S11">
        <f>+D16</f>
        <v>3.0288E-4</v>
      </c>
    </row>
    <row r="12" spans="3:19" ht="21" hidden="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hidden="1"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hidden="1"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hidden="1"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hidden="1"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hidden="1"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f>IF(COTIZADOR!D38="HOMBRE",1,2)</f>
        <v>2</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f ca="1">COTIZADOR!D36</f>
        <v>37</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t="str">
        <f>IF(COTIZADOR!D12&lt;250000,"",250000)</f>
        <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t="e">
        <f>+IF(D21=1,IF(D24=K10,VLOOKUP(D22,'ANEXO No.1'!B11:G76,2),IF('Conyu A'!D24='Conyu A'!L10,VLOOKUP(D22,'ANEXO No.1'!B11:G76,3),IF('Conyu A'!D24='Conyu A'!M10,VLOOKUP(D22,'ANEXO No.1'!B11:G76,4),IF('Conyu A'!D24='Conyu A'!N10,VLOOKUP(D22,'ANEXO No.1'!B11:G76,5),IF('Conyu A'!D24='Conyu A'!O10,VLOOKUP(D22,'ANEXO No.1'!B11:G76,6))))))*D24,IF(D24=K10,VLOOKUP(D22,'ANEXO No.1'!B11:G76,2),IF('Conyu A'!D24='Conyu A'!L10,VLOOKUP(D22,'ANEXO No.1'!B11:G76,3),IF('Conyu A'!D24='Conyu A'!M10,VLOOKUP(D22,'ANEXO No.1'!B11:G76,4),IF('Conyu A'!D24='Conyu A'!N10,VLOOKUP(D22,'ANEXO No.1'!B11:G76,5),IF('Conyu A'!D24='Conyu A'!O10,VLOOKUP(D22,'ANEXO No.1'!B11:G76,6))))))*D24*1.15)</f>
        <v>#VALUE!</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t="e">
        <f>SUM(E26:E29)</f>
        <v>#VALUE!</v>
      </c>
      <c r="F30" s="639" t="e">
        <f>E30/(1-0.4)</f>
        <v>#VALUE!</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t="e">
        <f>+F30</f>
        <v>#VALUE!</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1" spans="2:24" x14ac:dyDescent="0.35">
      <c r="H61" s="671"/>
      <c r="I61" s="671"/>
      <c r="J61" s="671"/>
      <c r="K61" s="671"/>
      <c r="L61" s="671"/>
      <c r="M61" s="671"/>
      <c r="N61" s="671"/>
      <c r="O61" s="671"/>
      <c r="P61" s="671"/>
      <c r="Q61" s="671"/>
      <c r="R61" s="671"/>
      <c r="S61" s="671"/>
      <c r="T61" s="671"/>
      <c r="U61" s="671"/>
      <c r="V61" s="671"/>
      <c r="W61" s="671"/>
      <c r="X61"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row r="80" spans="8:24" x14ac:dyDescent="0.35">
      <c r="H80" s="671"/>
      <c r="I80" s="671"/>
      <c r="J80" s="671"/>
      <c r="K80" s="671"/>
      <c r="L80" s="671"/>
      <c r="M80" s="671"/>
      <c r="N80" s="671"/>
      <c r="O80" s="671"/>
      <c r="P80" s="671"/>
      <c r="Q80" s="671"/>
      <c r="R80" s="671"/>
      <c r="S80" s="671"/>
      <c r="T80" s="671"/>
      <c r="U80" s="671"/>
      <c r="V80" s="671"/>
      <c r="W80" s="671"/>
      <c r="X80" s="671"/>
    </row>
    <row r="81" spans="8:24" x14ac:dyDescent="0.35">
      <c r="H81" s="671"/>
      <c r="I81" s="671"/>
      <c r="J81" s="671"/>
      <c r="K81" s="671"/>
      <c r="L81" s="671"/>
      <c r="M81" s="671"/>
      <c r="N81" s="671"/>
      <c r="O81" s="671"/>
      <c r="P81" s="671"/>
      <c r="Q81" s="671"/>
      <c r="R81" s="671"/>
      <c r="S81" s="671"/>
      <c r="T81" s="671"/>
      <c r="U81" s="671"/>
      <c r="V81" s="671"/>
      <c r="W81" s="671"/>
      <c r="X81" s="671"/>
    </row>
    <row r="82" spans="8:24" x14ac:dyDescent="0.35">
      <c r="H82" s="671"/>
      <c r="I82" s="671"/>
      <c r="J82" s="671"/>
      <c r="K82" s="671"/>
      <c r="L82" s="671"/>
      <c r="M82" s="671"/>
      <c r="N82" s="671"/>
      <c r="O82" s="671"/>
      <c r="P82" s="671"/>
      <c r="Q82" s="671"/>
      <c r="R82" s="671"/>
      <c r="S82" s="671"/>
      <c r="T82" s="671"/>
      <c r="U82" s="671"/>
      <c r="V82" s="671"/>
      <c r="W82" s="671"/>
      <c r="X82" s="671"/>
    </row>
    <row r="83" spans="8:24" x14ac:dyDescent="0.35">
      <c r="H83" s="671"/>
      <c r="I83" s="671"/>
      <c r="J83" s="671"/>
      <c r="K83" s="671"/>
      <c r="L83" s="671"/>
      <c r="M83" s="671"/>
      <c r="N83" s="671"/>
      <c r="O83" s="671"/>
      <c r="P83" s="671"/>
      <c r="Q83" s="671"/>
      <c r="R83" s="671"/>
      <c r="S83" s="671"/>
      <c r="T83" s="671"/>
      <c r="U83" s="671"/>
      <c r="V83" s="671"/>
      <c r="W83" s="671"/>
      <c r="X83" s="671"/>
    </row>
    <row r="84" spans="8:24" x14ac:dyDescent="0.35">
      <c r="H84" s="671"/>
      <c r="I84" s="671"/>
      <c r="J84" s="671"/>
      <c r="K84" s="671"/>
      <c r="L84" s="671"/>
      <c r="M84" s="671"/>
      <c r="N84" s="671"/>
      <c r="O84" s="671"/>
      <c r="P84" s="671"/>
      <c r="Q84" s="671"/>
      <c r="R84" s="671"/>
      <c r="S84" s="671"/>
      <c r="T84" s="671"/>
      <c r="U84" s="671"/>
      <c r="V84" s="671"/>
      <c r="W84" s="671"/>
      <c r="X84" s="671"/>
    </row>
    <row r="85" spans="8:24" x14ac:dyDescent="0.35">
      <c r="H85" s="671"/>
      <c r="I85" s="671"/>
      <c r="J85" s="671"/>
      <c r="K85" s="671"/>
      <c r="L85" s="671"/>
      <c r="M85" s="671"/>
      <c r="N85" s="671"/>
      <c r="O85" s="671"/>
      <c r="P85" s="671"/>
      <c r="Q85" s="671"/>
      <c r="R85" s="671"/>
      <c r="S85" s="671"/>
      <c r="T85" s="671"/>
      <c r="U85" s="671"/>
      <c r="V85" s="671"/>
      <c r="W85" s="671"/>
      <c r="X85" s="671"/>
    </row>
    <row r="86" spans="8:24" x14ac:dyDescent="0.35">
      <c r="H86" s="671"/>
      <c r="I86" s="671"/>
      <c r="J86" s="671"/>
      <c r="K86" s="671"/>
      <c r="L86" s="671"/>
      <c r="M86" s="671"/>
      <c r="N86" s="671"/>
      <c r="O86" s="671"/>
      <c r="P86" s="671"/>
      <c r="Q86" s="671"/>
      <c r="R86" s="671"/>
      <c r="S86" s="671"/>
      <c r="T86" s="671"/>
      <c r="U86" s="671"/>
      <c r="V86" s="671"/>
      <c r="W86" s="671"/>
      <c r="X86" s="671"/>
    </row>
    <row r="87" spans="8:24" x14ac:dyDescent="0.35">
      <c r="H87" s="671"/>
      <c r="I87" s="671"/>
      <c r="J87" s="671"/>
      <c r="K87" s="671"/>
      <c r="L87" s="671"/>
      <c r="M87" s="671"/>
      <c r="N87" s="671"/>
      <c r="O87" s="671"/>
      <c r="P87" s="671"/>
      <c r="Q87" s="671"/>
      <c r="R87" s="671"/>
      <c r="S87" s="671"/>
      <c r="T87" s="671"/>
      <c r="U87" s="671"/>
      <c r="V87" s="671"/>
      <c r="W87" s="671"/>
      <c r="X87" s="671"/>
    </row>
    <row r="88" spans="8:24" x14ac:dyDescent="0.35">
      <c r="H88" s="671"/>
      <c r="I88" s="671"/>
      <c r="J88" s="671"/>
      <c r="K88" s="671"/>
      <c r="L88" s="671"/>
      <c r="M88" s="671"/>
      <c r="N88" s="671"/>
      <c r="O88" s="671"/>
      <c r="P88" s="671"/>
      <c r="Q88" s="671"/>
      <c r="R88" s="671"/>
      <c r="S88" s="671"/>
      <c r="T88" s="671"/>
      <c r="U88" s="671"/>
      <c r="V88" s="671"/>
      <c r="W88" s="671"/>
      <c r="X88" s="671"/>
    </row>
    <row r="89" spans="8:24" x14ac:dyDescent="0.35">
      <c r="H89" s="671"/>
      <c r="I89" s="671"/>
      <c r="J89" s="671"/>
      <c r="K89" s="671"/>
      <c r="L89" s="671"/>
      <c r="M89" s="671"/>
      <c r="N89" s="671"/>
      <c r="O89" s="671"/>
      <c r="P89" s="671"/>
      <c r="Q89" s="671"/>
      <c r="R89" s="671"/>
      <c r="S89" s="671"/>
      <c r="T89" s="671"/>
      <c r="U89" s="671"/>
      <c r="V89" s="671"/>
      <c r="W89" s="671"/>
      <c r="X89" s="671"/>
    </row>
    <row r="90" spans="8:24" x14ac:dyDescent="0.35">
      <c r="H90" s="671"/>
      <c r="I90" s="671"/>
      <c r="J90" s="671"/>
      <c r="K90" s="671"/>
      <c r="L90" s="671"/>
      <c r="M90" s="671"/>
      <c r="N90" s="671"/>
      <c r="O90" s="671"/>
      <c r="P90" s="671"/>
      <c r="Q90" s="671"/>
      <c r="R90" s="671"/>
      <c r="S90" s="671"/>
      <c r="T90" s="671"/>
      <c r="U90" s="671"/>
      <c r="V90" s="671"/>
      <c r="W90" s="671"/>
      <c r="X90" s="671"/>
    </row>
    <row r="91" spans="8:24" x14ac:dyDescent="0.35">
      <c r="H91" s="671"/>
      <c r="I91" s="671"/>
      <c r="J91" s="671"/>
      <c r="K91" s="671"/>
      <c r="L91" s="671"/>
      <c r="M91" s="671"/>
      <c r="N91" s="671"/>
      <c r="O91" s="671"/>
      <c r="P91" s="671"/>
      <c r="Q91" s="671"/>
      <c r="R91" s="671"/>
      <c r="S91" s="671"/>
      <c r="T91" s="671"/>
      <c r="U91" s="671"/>
      <c r="V91" s="671"/>
      <c r="W91" s="671"/>
      <c r="X91" s="671"/>
    </row>
    <row r="92" spans="8:24" x14ac:dyDescent="0.35">
      <c r="H92" s="671"/>
      <c r="I92" s="671"/>
      <c r="J92" s="671"/>
      <c r="K92" s="671"/>
      <c r="L92" s="671"/>
      <c r="M92" s="671"/>
      <c r="N92" s="671"/>
      <c r="O92" s="671"/>
      <c r="P92" s="671"/>
      <c r="Q92" s="671"/>
      <c r="R92" s="671"/>
      <c r="S92" s="671"/>
      <c r="T92" s="671"/>
      <c r="U92" s="671"/>
      <c r="V92" s="671"/>
      <c r="W92" s="671"/>
      <c r="X92" s="671"/>
    </row>
    <row r="93" spans="8:24" x14ac:dyDescent="0.35">
      <c r="H93" s="671"/>
      <c r="I93" s="671"/>
      <c r="J93" s="671"/>
      <c r="K93" s="671"/>
      <c r="L93" s="671"/>
      <c r="M93" s="671"/>
      <c r="N93" s="671"/>
      <c r="O93" s="671"/>
      <c r="P93" s="671"/>
      <c r="Q93" s="671"/>
      <c r="R93" s="671"/>
      <c r="S93" s="671"/>
      <c r="T93" s="671"/>
      <c r="U93" s="671"/>
      <c r="V93" s="671"/>
      <c r="W93" s="671"/>
      <c r="X93" s="671"/>
    </row>
    <row r="94" spans="8:24" x14ac:dyDescent="0.35">
      <c r="H94" s="671"/>
      <c r="I94" s="671"/>
      <c r="J94" s="671"/>
      <c r="K94" s="671"/>
      <c r="L94" s="671"/>
      <c r="M94" s="671"/>
      <c r="N94" s="671"/>
      <c r="O94" s="671"/>
      <c r="P94" s="671"/>
      <c r="Q94" s="671"/>
      <c r="R94" s="671"/>
      <c r="S94" s="671"/>
      <c r="T94" s="671"/>
      <c r="U94" s="671"/>
      <c r="V94" s="671"/>
      <c r="W94" s="671"/>
      <c r="X94" s="671"/>
    </row>
    <row r="95" spans="8:24" x14ac:dyDescent="0.35">
      <c r="H95" s="671"/>
      <c r="I95" s="671"/>
      <c r="J95" s="671"/>
      <c r="K95" s="671"/>
      <c r="L95" s="671"/>
      <c r="M95" s="671"/>
      <c r="N95" s="671"/>
      <c r="O95" s="671"/>
      <c r="P95" s="671"/>
      <c r="Q95" s="671"/>
      <c r="R95" s="671"/>
      <c r="S95" s="671"/>
      <c r="T95" s="671"/>
      <c r="U95" s="671"/>
      <c r="V95" s="671"/>
      <c r="W95" s="671"/>
      <c r="X95" s="671"/>
    </row>
    <row r="96" spans="8:24" x14ac:dyDescent="0.35">
      <c r="H96" s="671"/>
      <c r="I96" s="671"/>
      <c r="J96" s="671"/>
      <c r="K96" s="671"/>
      <c r="L96" s="671"/>
      <c r="M96" s="671"/>
      <c r="N96" s="671"/>
      <c r="O96" s="671"/>
      <c r="P96" s="671"/>
      <c r="Q96" s="671"/>
      <c r="R96" s="671"/>
      <c r="S96" s="671"/>
      <c r="T96" s="671"/>
      <c r="U96" s="671"/>
      <c r="V96" s="671"/>
      <c r="W96" s="671"/>
      <c r="X96" s="671"/>
    </row>
    <row r="97" spans="8:24" x14ac:dyDescent="0.35">
      <c r="H97" s="671"/>
      <c r="I97" s="671"/>
      <c r="J97" s="671"/>
      <c r="K97" s="671"/>
      <c r="L97" s="671"/>
      <c r="M97" s="671"/>
      <c r="N97" s="671"/>
      <c r="O97" s="671"/>
      <c r="P97" s="671"/>
      <c r="Q97" s="671"/>
      <c r="R97" s="671"/>
      <c r="S97" s="671"/>
      <c r="T97" s="671"/>
      <c r="U97" s="671"/>
      <c r="V97" s="671"/>
      <c r="W97" s="671"/>
      <c r="X97" s="671"/>
    </row>
    <row r="98" spans="8:24" x14ac:dyDescent="0.35">
      <c r="H98" s="671"/>
      <c r="I98" s="671"/>
      <c r="J98" s="671"/>
      <c r="K98" s="671"/>
      <c r="L98" s="671"/>
      <c r="M98" s="671"/>
      <c r="N98" s="671"/>
      <c r="O98" s="671"/>
      <c r="P98" s="671"/>
      <c r="Q98" s="671"/>
      <c r="R98" s="671"/>
      <c r="S98" s="671"/>
      <c r="T98" s="671"/>
      <c r="U98" s="671"/>
      <c r="V98" s="671"/>
      <c r="W98" s="671"/>
      <c r="X98" s="671"/>
    </row>
    <row r="99" spans="8:24" x14ac:dyDescent="0.35">
      <c r="H99" s="671"/>
      <c r="I99" s="671"/>
      <c r="J99" s="671"/>
      <c r="K99" s="671"/>
      <c r="L99" s="671"/>
      <c r="M99" s="671"/>
      <c r="N99" s="671"/>
      <c r="O99" s="671"/>
      <c r="P99" s="671"/>
      <c r="Q99" s="671"/>
      <c r="R99" s="671"/>
      <c r="S99" s="671"/>
      <c r="T99" s="671"/>
      <c r="U99" s="671"/>
      <c r="V99" s="671"/>
      <c r="W99" s="671"/>
      <c r="X99" s="671"/>
    </row>
    <row r="100" spans="8:24" x14ac:dyDescent="0.35">
      <c r="H100" s="671"/>
      <c r="I100" s="671"/>
      <c r="J100" s="671"/>
      <c r="K100" s="671"/>
      <c r="L100" s="671"/>
      <c r="M100" s="671"/>
      <c r="N100" s="671"/>
      <c r="O100" s="671"/>
      <c r="P100" s="671"/>
      <c r="Q100" s="671"/>
      <c r="R100" s="671"/>
      <c r="S100" s="671"/>
      <c r="T100" s="671"/>
      <c r="U100" s="671"/>
      <c r="V100" s="671"/>
      <c r="W100" s="671"/>
      <c r="X100" s="671"/>
    </row>
    <row r="101" spans="8:24" x14ac:dyDescent="0.35">
      <c r="H101" s="671"/>
      <c r="I101" s="671"/>
      <c r="J101" s="671"/>
      <c r="K101" s="671"/>
      <c r="L101" s="671"/>
      <c r="M101" s="671"/>
      <c r="N101" s="671"/>
      <c r="O101" s="671"/>
      <c r="P101" s="671"/>
      <c r="Q101" s="671"/>
      <c r="R101" s="671"/>
      <c r="S101" s="671"/>
      <c r="T101" s="671"/>
      <c r="U101" s="671"/>
      <c r="V101" s="671"/>
      <c r="W101" s="671"/>
      <c r="X101" s="671"/>
    </row>
    <row r="102" spans="8:24" x14ac:dyDescent="0.35">
      <c r="H102" s="671"/>
      <c r="I102" s="671"/>
      <c r="J102" s="671"/>
      <c r="K102" s="671"/>
      <c r="L102" s="671"/>
      <c r="M102" s="671"/>
      <c r="N102" s="671"/>
      <c r="O102" s="671"/>
      <c r="P102" s="671"/>
      <c r="Q102" s="671"/>
      <c r="R102" s="671"/>
      <c r="S102" s="671"/>
      <c r="T102" s="671"/>
      <c r="U102" s="671"/>
      <c r="V102" s="671"/>
      <c r="W102" s="671"/>
      <c r="X102" s="671"/>
    </row>
    <row r="103" spans="8:24" x14ac:dyDescent="0.35">
      <c r="H103" s="671"/>
      <c r="I103" s="671"/>
      <c r="J103" s="671"/>
      <c r="K103" s="671"/>
      <c r="L103" s="671"/>
      <c r="M103" s="671"/>
      <c r="N103" s="671"/>
      <c r="O103" s="671"/>
      <c r="P103" s="671"/>
      <c r="Q103" s="671"/>
      <c r="R103" s="671"/>
      <c r="S103" s="671"/>
      <c r="T103" s="671"/>
      <c r="U103" s="671"/>
      <c r="V103" s="671"/>
      <c r="W103" s="671"/>
      <c r="X103" s="671"/>
    </row>
    <row r="104" spans="8:24" x14ac:dyDescent="0.35">
      <c r="H104" s="671"/>
      <c r="I104" s="671"/>
      <c r="J104" s="671"/>
      <c r="K104" s="671"/>
      <c r="L104" s="671"/>
      <c r="M104" s="671"/>
      <c r="N104" s="671"/>
      <c r="O104" s="671"/>
      <c r="P104" s="671"/>
      <c r="Q104" s="671"/>
      <c r="R104" s="671"/>
      <c r="S104" s="671"/>
      <c r="T104" s="671"/>
      <c r="U104" s="671"/>
      <c r="V104" s="671"/>
      <c r="W104" s="671"/>
      <c r="X104" s="671"/>
    </row>
    <row r="105" spans="8:24" x14ac:dyDescent="0.35">
      <c r="H105" s="671"/>
      <c r="I105" s="671"/>
      <c r="J105" s="671"/>
      <c r="K105" s="671"/>
      <c r="L105" s="671"/>
      <c r="M105" s="671"/>
      <c r="N105" s="671"/>
      <c r="O105" s="671"/>
      <c r="P105" s="671"/>
      <c r="Q105" s="671"/>
      <c r="R105" s="671"/>
      <c r="S105" s="671"/>
      <c r="T105" s="671"/>
      <c r="U105" s="671"/>
      <c r="V105" s="671"/>
      <c r="W105" s="671"/>
      <c r="X105" s="671"/>
    </row>
    <row r="106" spans="8:24" x14ac:dyDescent="0.35">
      <c r="H106" s="671"/>
      <c r="I106" s="671"/>
      <c r="J106" s="671"/>
      <c r="K106" s="671"/>
      <c r="L106" s="671"/>
      <c r="M106" s="671"/>
      <c r="N106" s="671"/>
      <c r="O106" s="671"/>
      <c r="P106" s="671"/>
      <c r="Q106" s="671"/>
      <c r="R106" s="671"/>
      <c r="S106" s="671"/>
      <c r="T106" s="671"/>
      <c r="U106" s="671"/>
      <c r="V106" s="671"/>
      <c r="W106" s="671"/>
      <c r="X106" s="671"/>
    </row>
    <row r="107" spans="8:24" x14ac:dyDescent="0.35">
      <c r="H107" s="671"/>
      <c r="I107" s="671"/>
      <c r="J107" s="671"/>
      <c r="K107" s="671"/>
      <c r="L107" s="671"/>
      <c r="M107" s="671"/>
      <c r="N107" s="671"/>
      <c r="O107" s="671"/>
      <c r="P107" s="671"/>
      <c r="Q107" s="671"/>
      <c r="R107" s="671"/>
      <c r="S107" s="671"/>
      <c r="T107" s="671"/>
      <c r="U107" s="671"/>
      <c r="V107" s="671"/>
      <c r="W107" s="671"/>
      <c r="X107" s="671"/>
    </row>
    <row r="108" spans="8:24" x14ac:dyDescent="0.35">
      <c r="H108" s="671"/>
      <c r="I108" s="671"/>
      <c r="J108" s="671"/>
      <c r="K108" s="671"/>
      <c r="L108" s="671"/>
      <c r="M108" s="671"/>
      <c r="N108" s="671"/>
      <c r="O108" s="671"/>
      <c r="P108" s="671"/>
      <c r="Q108" s="671"/>
      <c r="R108" s="671"/>
      <c r="S108" s="671"/>
      <c r="T108" s="671"/>
      <c r="U108" s="671"/>
      <c r="V108" s="671"/>
      <c r="W108" s="671"/>
      <c r="X108" s="671"/>
    </row>
    <row r="109" spans="8:24" x14ac:dyDescent="0.35">
      <c r="H109" s="671"/>
      <c r="I109" s="671"/>
      <c r="J109" s="671"/>
      <c r="K109" s="671"/>
      <c r="L109" s="671"/>
      <c r="M109" s="671"/>
      <c r="N109" s="671"/>
      <c r="O109" s="671"/>
      <c r="P109" s="671"/>
      <c r="Q109" s="671"/>
      <c r="R109" s="671"/>
      <c r="S109" s="671"/>
      <c r="T109" s="671"/>
      <c r="U109" s="671"/>
      <c r="V109" s="671"/>
      <c r="W109" s="671"/>
      <c r="X109" s="671"/>
    </row>
    <row r="110" spans="8:24" x14ac:dyDescent="0.35">
      <c r="H110" s="671"/>
      <c r="I110" s="671"/>
      <c r="J110" s="671"/>
      <c r="K110" s="671"/>
      <c r="L110" s="671"/>
      <c r="M110" s="671"/>
      <c r="N110" s="671"/>
      <c r="O110" s="671"/>
      <c r="P110" s="671"/>
      <c r="Q110" s="671"/>
      <c r="R110" s="671"/>
      <c r="S110" s="671"/>
      <c r="T110" s="671"/>
      <c r="U110" s="671"/>
      <c r="V110" s="671"/>
      <c r="W110" s="671"/>
      <c r="X110" s="671"/>
    </row>
    <row r="111" spans="8:24" x14ac:dyDescent="0.35">
      <c r="H111" s="671"/>
      <c r="I111" s="671"/>
      <c r="J111" s="671"/>
      <c r="K111" s="671"/>
      <c r="L111" s="671"/>
      <c r="M111" s="671"/>
      <c r="N111" s="671"/>
      <c r="O111" s="671"/>
      <c r="P111" s="671"/>
      <c r="Q111" s="671"/>
      <c r="R111" s="671"/>
      <c r="S111" s="671"/>
      <c r="T111" s="671"/>
      <c r="U111" s="671"/>
      <c r="V111" s="671"/>
      <c r="W111" s="671"/>
      <c r="X111" s="671"/>
    </row>
    <row r="112" spans="8:24" x14ac:dyDescent="0.35">
      <c r="H112" s="671"/>
      <c r="I112" s="671"/>
      <c r="J112" s="671"/>
      <c r="K112" s="671"/>
      <c r="L112" s="671"/>
      <c r="M112" s="671"/>
      <c r="N112" s="671"/>
      <c r="O112" s="671"/>
      <c r="P112" s="671"/>
      <c r="Q112" s="671"/>
      <c r="R112" s="671"/>
      <c r="S112" s="671"/>
      <c r="T112" s="671"/>
      <c r="U112" s="671"/>
      <c r="V112" s="671"/>
      <c r="W112" s="671"/>
      <c r="X112" s="671"/>
    </row>
    <row r="113" spans="8:24" x14ac:dyDescent="0.35">
      <c r="H113" s="671"/>
      <c r="I113" s="671"/>
      <c r="J113" s="671"/>
      <c r="K113" s="671"/>
      <c r="L113" s="671"/>
      <c r="M113" s="671"/>
      <c r="N113" s="671"/>
      <c r="O113" s="671"/>
      <c r="P113" s="671"/>
      <c r="Q113" s="671"/>
      <c r="R113" s="671"/>
      <c r="S113" s="671"/>
      <c r="T113" s="671"/>
      <c r="U113" s="671"/>
      <c r="V113" s="671"/>
      <c r="W113" s="671"/>
      <c r="X113" s="671"/>
    </row>
    <row r="114" spans="8:24" x14ac:dyDescent="0.35">
      <c r="H114" s="671"/>
      <c r="I114" s="671"/>
      <c r="J114" s="671"/>
      <c r="K114" s="671"/>
      <c r="L114" s="671"/>
      <c r="M114" s="671"/>
      <c r="N114" s="671"/>
      <c r="O114" s="671"/>
      <c r="P114" s="671"/>
      <c r="Q114" s="671"/>
      <c r="R114" s="671"/>
      <c r="S114" s="671"/>
      <c r="T114" s="671"/>
      <c r="U114" s="671"/>
      <c r="V114" s="671"/>
      <c r="W114" s="671"/>
      <c r="X114" s="671"/>
    </row>
    <row r="115" spans="8:24" x14ac:dyDescent="0.35">
      <c r="H115" s="671"/>
      <c r="I115" s="671"/>
      <c r="J115" s="671"/>
      <c r="K115" s="671"/>
      <c r="L115" s="671"/>
      <c r="M115" s="671"/>
      <c r="N115" s="671"/>
      <c r="O115" s="671"/>
      <c r="P115" s="671"/>
      <c r="Q115" s="671"/>
      <c r="R115" s="671"/>
      <c r="S115" s="671"/>
      <c r="T115" s="671"/>
      <c r="U115" s="671"/>
      <c r="V115" s="671"/>
      <c r="W115" s="671"/>
      <c r="X115" s="671"/>
    </row>
    <row r="116" spans="8:24" x14ac:dyDescent="0.35">
      <c r="H116" s="671"/>
      <c r="I116" s="671"/>
      <c r="J116" s="671"/>
      <c r="K116" s="671"/>
      <c r="L116" s="671"/>
      <c r="M116" s="671"/>
      <c r="N116" s="671"/>
      <c r="O116" s="671"/>
      <c r="P116" s="671"/>
      <c r="Q116" s="671"/>
      <c r="R116" s="671"/>
      <c r="S116" s="671"/>
      <c r="T116" s="671"/>
      <c r="U116" s="671"/>
      <c r="V116" s="671"/>
      <c r="W116" s="671"/>
      <c r="X116" s="671"/>
    </row>
    <row r="117" spans="8:24" x14ac:dyDescent="0.35">
      <c r="H117" s="671"/>
      <c r="I117" s="671"/>
      <c r="J117" s="671"/>
      <c r="K117" s="671"/>
      <c r="L117" s="671"/>
      <c r="M117" s="671"/>
      <c r="N117" s="671"/>
      <c r="O117" s="671"/>
      <c r="P117" s="671"/>
      <c r="Q117" s="671"/>
      <c r="R117" s="671"/>
      <c r="S117" s="671"/>
      <c r="T117" s="671"/>
      <c r="U117" s="671"/>
      <c r="V117" s="671"/>
      <c r="W117" s="671"/>
      <c r="X117" s="671"/>
    </row>
    <row r="118" spans="8:24" x14ac:dyDescent="0.35">
      <c r="H118" s="671"/>
      <c r="I118" s="671"/>
      <c r="J118" s="671"/>
      <c r="K118" s="671"/>
      <c r="L118" s="671"/>
      <c r="M118" s="671"/>
      <c r="N118" s="671"/>
      <c r="O118" s="671"/>
      <c r="P118" s="671"/>
      <c r="Q118" s="671"/>
      <c r="R118" s="671"/>
      <c r="S118" s="671"/>
      <c r="T118" s="671"/>
      <c r="U118" s="671"/>
      <c r="V118" s="671"/>
      <c r="W118" s="671"/>
      <c r="X118" s="671"/>
    </row>
    <row r="119" spans="8:24" x14ac:dyDescent="0.35">
      <c r="H119" s="671"/>
      <c r="I119" s="671"/>
      <c r="J119" s="671"/>
      <c r="K119" s="671"/>
      <c r="L119" s="671"/>
      <c r="M119" s="671"/>
      <c r="N119" s="671"/>
      <c r="O119" s="671"/>
      <c r="P119" s="671"/>
      <c r="Q119" s="671"/>
      <c r="R119" s="671"/>
      <c r="S119" s="671"/>
      <c r="T119" s="671"/>
      <c r="U119" s="671"/>
      <c r="V119" s="671"/>
      <c r="W119" s="671"/>
      <c r="X119" s="671"/>
    </row>
    <row r="120" spans="8:24" x14ac:dyDescent="0.35">
      <c r="H120" s="671"/>
      <c r="I120" s="671"/>
      <c r="J120" s="671"/>
      <c r="K120" s="671"/>
      <c r="L120" s="671"/>
      <c r="M120" s="671"/>
      <c r="N120" s="671"/>
      <c r="O120" s="671"/>
      <c r="P120" s="671"/>
      <c r="Q120" s="671"/>
      <c r="R120" s="671"/>
      <c r="S120" s="671"/>
      <c r="T120" s="671"/>
      <c r="U120" s="671"/>
      <c r="V120" s="671"/>
      <c r="W120" s="671"/>
      <c r="X120" s="671"/>
    </row>
    <row r="121" spans="8:24" x14ac:dyDescent="0.35">
      <c r="H121" s="671"/>
      <c r="I121" s="671"/>
      <c r="J121" s="671"/>
      <c r="K121" s="671"/>
      <c r="L121" s="671"/>
      <c r="M121" s="671"/>
      <c r="N121" s="671"/>
      <c r="O121" s="671"/>
      <c r="P121" s="671"/>
      <c r="Q121" s="671"/>
      <c r="R121" s="671"/>
      <c r="S121" s="671"/>
      <c r="T121" s="671"/>
      <c r="U121" s="671"/>
      <c r="V121" s="671"/>
      <c r="W121" s="671"/>
      <c r="X121" s="671"/>
    </row>
    <row r="122" spans="8:24" x14ac:dyDescent="0.35">
      <c r="H122" s="671"/>
      <c r="I122" s="671"/>
      <c r="J122" s="671"/>
      <c r="K122" s="671"/>
      <c r="L122" s="671"/>
      <c r="M122" s="671"/>
      <c r="N122" s="671"/>
      <c r="O122" s="671"/>
      <c r="P122" s="671"/>
      <c r="Q122" s="671"/>
      <c r="R122" s="671"/>
      <c r="S122" s="671"/>
      <c r="T122" s="671"/>
      <c r="U122" s="671"/>
      <c r="V122" s="671"/>
      <c r="W122" s="671"/>
      <c r="X122" s="671"/>
    </row>
    <row r="123" spans="8:24" x14ac:dyDescent="0.35">
      <c r="H123" s="671"/>
      <c r="I123" s="671"/>
      <c r="J123" s="671"/>
      <c r="K123" s="671"/>
      <c r="L123" s="671"/>
      <c r="M123" s="671"/>
      <c r="N123" s="671"/>
      <c r="O123" s="671"/>
      <c r="P123" s="671"/>
      <c r="Q123" s="671"/>
      <c r="R123" s="671"/>
      <c r="S123" s="671"/>
      <c r="T123" s="671"/>
      <c r="U123" s="671"/>
      <c r="V123" s="671"/>
      <c r="W123" s="671"/>
      <c r="X123" s="671"/>
    </row>
    <row r="124" spans="8:24" x14ac:dyDescent="0.35">
      <c r="H124" s="671"/>
      <c r="I124" s="671"/>
      <c r="J124" s="671"/>
      <c r="K124" s="671"/>
      <c r="L124" s="671"/>
      <c r="M124" s="671"/>
      <c r="N124" s="671"/>
      <c r="O124" s="671"/>
      <c r="P124" s="671"/>
      <c r="Q124" s="671"/>
      <c r="R124" s="671"/>
      <c r="S124" s="671"/>
      <c r="T124" s="671"/>
      <c r="U124" s="671"/>
      <c r="V124" s="671"/>
      <c r="W124" s="671"/>
      <c r="X124" s="671"/>
    </row>
    <row r="125" spans="8:24" x14ac:dyDescent="0.35">
      <c r="H125" s="671"/>
      <c r="I125" s="671"/>
      <c r="J125" s="671"/>
      <c r="K125" s="671"/>
      <c r="L125" s="671"/>
      <c r="M125" s="671"/>
      <c r="N125" s="671"/>
      <c r="O125" s="671"/>
      <c r="P125" s="671"/>
      <c r="Q125" s="671"/>
      <c r="R125" s="671"/>
      <c r="S125" s="671"/>
      <c r="T125" s="671"/>
      <c r="U125" s="671"/>
      <c r="V125" s="671"/>
      <c r="W125" s="671"/>
      <c r="X125" s="671"/>
    </row>
    <row r="126" spans="8:24" x14ac:dyDescent="0.35">
      <c r="H126" s="671"/>
      <c r="I126" s="671"/>
      <c r="J126" s="671"/>
      <c r="K126" s="671"/>
      <c r="L126" s="671"/>
      <c r="M126" s="671"/>
      <c r="N126" s="671"/>
      <c r="O126" s="671"/>
      <c r="P126" s="671"/>
      <c r="Q126" s="671"/>
      <c r="R126" s="671"/>
      <c r="S126" s="671"/>
      <c r="T126" s="671"/>
      <c r="U126" s="671"/>
      <c r="V126" s="671"/>
      <c r="W126" s="671"/>
      <c r="X126" s="671"/>
    </row>
    <row r="127" spans="8:24" x14ac:dyDescent="0.35">
      <c r="H127" s="671"/>
      <c r="I127" s="671"/>
      <c r="J127" s="671"/>
      <c r="K127" s="671"/>
      <c r="L127" s="671"/>
      <c r="M127" s="671"/>
      <c r="N127" s="671"/>
      <c r="O127" s="671"/>
      <c r="P127" s="671"/>
      <c r="Q127" s="671"/>
      <c r="R127" s="671"/>
      <c r="S127" s="671"/>
      <c r="T127" s="671"/>
      <c r="U127" s="671"/>
      <c r="V127" s="671"/>
      <c r="W127" s="671"/>
      <c r="X127" s="671"/>
    </row>
    <row r="128" spans="8:24" x14ac:dyDescent="0.35">
      <c r="H128" s="671"/>
      <c r="I128" s="671"/>
      <c r="J128" s="671"/>
      <c r="K128" s="671"/>
      <c r="L128" s="671"/>
      <c r="M128" s="671"/>
      <c r="N128" s="671"/>
      <c r="O128" s="671"/>
      <c r="P128" s="671"/>
      <c r="Q128" s="671"/>
      <c r="R128" s="671"/>
      <c r="S128" s="671"/>
      <c r="T128" s="671"/>
      <c r="U128" s="671"/>
      <c r="V128" s="671"/>
      <c r="W128" s="671"/>
      <c r="X128" s="671"/>
    </row>
    <row r="129" spans="8:24" x14ac:dyDescent="0.35">
      <c r="H129" s="671"/>
      <c r="I129" s="671"/>
      <c r="J129" s="671"/>
      <c r="K129" s="671"/>
      <c r="L129" s="671"/>
      <c r="M129" s="671"/>
      <c r="N129" s="671"/>
      <c r="O129" s="671"/>
      <c r="P129" s="671"/>
      <c r="Q129" s="671"/>
      <c r="R129" s="671"/>
      <c r="S129" s="671"/>
      <c r="T129" s="671"/>
      <c r="U129" s="671"/>
      <c r="V129" s="671"/>
      <c r="W129" s="671"/>
      <c r="X129" s="671"/>
    </row>
    <row r="130" spans="8:24" x14ac:dyDescent="0.35">
      <c r="H130" s="671"/>
      <c r="I130" s="671"/>
      <c r="J130" s="671"/>
      <c r="K130" s="671"/>
      <c r="L130" s="671"/>
      <c r="M130" s="671"/>
      <c r="N130" s="671"/>
      <c r="O130" s="671"/>
      <c r="P130" s="671"/>
      <c r="Q130" s="671"/>
      <c r="R130" s="671"/>
      <c r="S130" s="671"/>
      <c r="T130" s="671"/>
      <c r="U130" s="671"/>
      <c r="V130" s="671"/>
      <c r="W130" s="671"/>
      <c r="X130" s="671"/>
    </row>
    <row r="131" spans="8:24" x14ac:dyDescent="0.35">
      <c r="H131" s="671"/>
      <c r="I131" s="671"/>
      <c r="J131" s="671"/>
      <c r="K131" s="671"/>
      <c r="L131" s="671"/>
      <c r="M131" s="671"/>
      <c r="N131" s="671"/>
      <c r="O131" s="671"/>
      <c r="P131" s="671"/>
      <c r="Q131" s="671"/>
      <c r="R131" s="671"/>
      <c r="S131" s="671"/>
      <c r="T131" s="671"/>
      <c r="U131" s="671"/>
      <c r="V131" s="671"/>
      <c r="W131" s="671"/>
      <c r="X131" s="671"/>
    </row>
    <row r="132" spans="8:24" x14ac:dyDescent="0.35">
      <c r="H132" s="671"/>
      <c r="I132" s="671"/>
      <c r="J132" s="671"/>
      <c r="K132" s="671"/>
      <c r="L132" s="671"/>
      <c r="M132" s="671"/>
      <c r="N132" s="671"/>
      <c r="O132" s="671"/>
      <c r="P132" s="671"/>
      <c r="Q132" s="671"/>
      <c r="R132" s="671"/>
      <c r="S132" s="671"/>
      <c r="T132" s="671"/>
      <c r="U132" s="671"/>
      <c r="V132" s="671"/>
      <c r="W132" s="671"/>
      <c r="X132" s="671"/>
    </row>
    <row r="133" spans="8:24" x14ac:dyDescent="0.35">
      <c r="H133" s="671"/>
      <c r="I133" s="671"/>
      <c r="J133" s="671"/>
      <c r="K133" s="671"/>
      <c r="L133" s="671"/>
      <c r="M133" s="671"/>
      <c r="N133" s="671"/>
      <c r="O133" s="671"/>
      <c r="P133" s="671"/>
      <c r="Q133" s="671"/>
      <c r="R133" s="671"/>
      <c r="S133" s="671"/>
      <c r="T133" s="671"/>
      <c r="U133" s="671"/>
      <c r="V133" s="671"/>
      <c r="W133" s="671"/>
      <c r="X133" s="671"/>
    </row>
    <row r="134" spans="8:24" x14ac:dyDescent="0.35">
      <c r="H134" s="671"/>
      <c r="I134" s="671"/>
      <c r="J134" s="671"/>
      <c r="K134" s="671"/>
      <c r="L134" s="671"/>
      <c r="M134" s="671"/>
      <c r="N134" s="671"/>
      <c r="O134" s="671"/>
      <c r="P134" s="671"/>
      <c r="Q134" s="671"/>
      <c r="R134" s="671"/>
      <c r="S134" s="671"/>
      <c r="T134" s="671"/>
      <c r="U134" s="671"/>
      <c r="V134" s="671"/>
      <c r="W134" s="671"/>
      <c r="X134" s="671"/>
    </row>
    <row r="135" spans="8:24" x14ac:dyDescent="0.35">
      <c r="H135" s="671"/>
      <c r="I135" s="671"/>
      <c r="J135" s="671"/>
      <c r="K135" s="671"/>
      <c r="L135" s="671"/>
      <c r="M135" s="671"/>
      <c r="N135" s="671"/>
      <c r="O135" s="671"/>
      <c r="P135" s="671"/>
      <c r="Q135" s="671"/>
      <c r="R135" s="671"/>
      <c r="S135" s="671"/>
      <c r="T135" s="671"/>
      <c r="U135" s="671"/>
      <c r="V135" s="671"/>
      <c r="W135" s="671"/>
      <c r="X135" s="671"/>
    </row>
    <row r="136" spans="8:24" x14ac:dyDescent="0.35">
      <c r="H136" s="671"/>
      <c r="I136" s="671"/>
      <c r="J136" s="671"/>
      <c r="K136" s="671"/>
      <c r="L136" s="671"/>
      <c r="M136" s="671"/>
      <c r="N136" s="671"/>
      <c r="O136" s="671"/>
      <c r="P136" s="671"/>
      <c r="Q136" s="671"/>
      <c r="R136" s="671"/>
      <c r="S136" s="671"/>
      <c r="T136" s="671"/>
      <c r="U136" s="671"/>
      <c r="V136" s="671"/>
      <c r="W136" s="671"/>
      <c r="X136" s="671"/>
    </row>
    <row r="137" spans="8:24" x14ac:dyDescent="0.35">
      <c r="H137" s="671"/>
      <c r="I137" s="671"/>
      <c r="J137" s="671"/>
      <c r="K137" s="671"/>
      <c r="L137" s="671"/>
      <c r="M137" s="671"/>
      <c r="N137" s="671"/>
      <c r="O137" s="671"/>
      <c r="P137" s="671"/>
      <c r="Q137" s="671"/>
      <c r="R137" s="671"/>
      <c r="S137" s="671"/>
      <c r="T137" s="671"/>
      <c r="U137" s="671"/>
      <c r="V137" s="671"/>
      <c r="W137" s="671"/>
      <c r="X137" s="671"/>
    </row>
    <row r="138" spans="8:24" x14ac:dyDescent="0.35">
      <c r="H138" s="671"/>
      <c r="I138" s="671"/>
      <c r="J138" s="671"/>
      <c r="K138" s="671"/>
      <c r="L138" s="671"/>
      <c r="M138" s="671"/>
      <c r="N138" s="671"/>
      <c r="O138" s="671"/>
      <c r="P138" s="671"/>
      <c r="Q138" s="671"/>
      <c r="R138" s="671"/>
      <c r="S138" s="671"/>
      <c r="T138" s="671"/>
      <c r="U138" s="671"/>
      <c r="V138" s="671"/>
      <c r="W138" s="671"/>
      <c r="X138" s="671"/>
    </row>
    <row r="139" spans="8:24" x14ac:dyDescent="0.35">
      <c r="H139" s="671"/>
      <c r="I139" s="671"/>
      <c r="J139" s="671"/>
      <c r="K139" s="671"/>
      <c r="L139" s="671"/>
      <c r="M139" s="671"/>
      <c r="N139" s="671"/>
      <c r="O139" s="671"/>
      <c r="P139" s="671"/>
      <c r="Q139" s="671"/>
      <c r="R139" s="671"/>
      <c r="S139" s="671"/>
      <c r="T139" s="671"/>
      <c r="U139" s="671"/>
      <c r="V139" s="671"/>
      <c r="W139" s="671"/>
      <c r="X139" s="671"/>
    </row>
    <row r="140" spans="8:24" x14ac:dyDescent="0.35">
      <c r="H140" s="671"/>
      <c r="I140" s="671"/>
      <c r="J140" s="671"/>
      <c r="K140" s="671"/>
      <c r="L140" s="671"/>
      <c r="M140" s="671"/>
      <c r="N140" s="671"/>
      <c r="O140" s="671"/>
      <c r="P140" s="671"/>
      <c r="Q140" s="671"/>
      <c r="R140" s="671"/>
      <c r="S140" s="671"/>
      <c r="T140" s="671"/>
      <c r="U140" s="671"/>
      <c r="V140" s="671"/>
      <c r="W140" s="671"/>
      <c r="X140" s="671"/>
    </row>
    <row r="141" spans="8:24" x14ac:dyDescent="0.35">
      <c r="H141" s="671"/>
      <c r="I141" s="671"/>
      <c r="J141" s="671"/>
      <c r="K141" s="671"/>
      <c r="L141" s="671"/>
      <c r="M141" s="671"/>
      <c r="N141" s="671"/>
      <c r="O141" s="671"/>
      <c r="P141" s="671"/>
      <c r="Q141" s="671"/>
      <c r="R141" s="671"/>
      <c r="S141" s="671"/>
      <c r="T141" s="671"/>
      <c r="U141" s="671"/>
      <c r="V141" s="671"/>
      <c r="W141" s="671"/>
      <c r="X141" s="671"/>
    </row>
    <row r="142" spans="8:24" x14ac:dyDescent="0.35">
      <c r="H142" s="671"/>
      <c r="I142" s="671"/>
      <c r="J142" s="671"/>
      <c r="K142" s="671"/>
      <c r="L142" s="671"/>
      <c r="M142" s="671"/>
      <c r="N142" s="671"/>
      <c r="O142" s="671"/>
      <c r="P142" s="671"/>
      <c r="Q142" s="671"/>
      <c r="R142" s="671"/>
      <c r="S142" s="671"/>
      <c r="T142" s="671"/>
      <c r="U142" s="671"/>
      <c r="V142" s="671"/>
      <c r="W142" s="671"/>
      <c r="X142" s="671"/>
    </row>
    <row r="143" spans="8:24" x14ac:dyDescent="0.35">
      <c r="H143" s="671"/>
      <c r="I143" s="671"/>
      <c r="J143" s="671"/>
      <c r="K143" s="671"/>
      <c r="L143" s="671"/>
      <c r="M143" s="671"/>
      <c r="N143" s="671"/>
      <c r="O143" s="671"/>
      <c r="P143" s="671"/>
      <c r="Q143" s="671"/>
      <c r="R143" s="671"/>
      <c r="S143" s="671"/>
      <c r="T143" s="671"/>
      <c r="U143" s="671"/>
      <c r="V143" s="671"/>
      <c r="W143" s="671"/>
      <c r="X143" s="671"/>
    </row>
    <row r="144" spans="8:24" x14ac:dyDescent="0.35">
      <c r="H144" s="671"/>
      <c r="I144" s="671"/>
      <c r="J144" s="671"/>
      <c r="K144" s="671"/>
      <c r="L144" s="671"/>
      <c r="M144" s="671"/>
      <c r="N144" s="671"/>
      <c r="O144" s="671"/>
      <c r="P144" s="671"/>
      <c r="Q144" s="671"/>
      <c r="R144" s="671"/>
      <c r="S144" s="671"/>
      <c r="T144" s="671"/>
      <c r="U144" s="671"/>
      <c r="V144" s="671"/>
      <c r="W144" s="671"/>
      <c r="X144" s="671"/>
    </row>
    <row r="145" spans="8:24" x14ac:dyDescent="0.35">
      <c r="H145" s="671"/>
      <c r="I145" s="671"/>
      <c r="J145" s="671"/>
      <c r="K145" s="671"/>
      <c r="L145" s="671"/>
      <c r="M145" s="671"/>
      <c r="N145" s="671"/>
      <c r="O145" s="671"/>
      <c r="P145" s="671"/>
      <c r="Q145" s="671"/>
      <c r="R145" s="671"/>
      <c r="S145" s="671"/>
      <c r="T145" s="671"/>
      <c r="U145" s="671"/>
      <c r="V145" s="671"/>
      <c r="W145" s="671"/>
      <c r="X145" s="671"/>
    </row>
    <row r="146" spans="8:24" x14ac:dyDescent="0.35">
      <c r="H146" s="671"/>
      <c r="I146" s="671"/>
      <c r="J146" s="671"/>
      <c r="K146" s="671"/>
      <c r="L146" s="671"/>
      <c r="M146" s="671"/>
      <c r="N146" s="671"/>
      <c r="O146" s="671"/>
      <c r="P146" s="671"/>
      <c r="Q146" s="671"/>
      <c r="R146" s="671"/>
      <c r="S146" s="671"/>
      <c r="T146" s="671"/>
      <c r="U146" s="671"/>
      <c r="V146" s="671"/>
      <c r="W146" s="671"/>
      <c r="X146" s="671"/>
    </row>
    <row r="147" spans="8:24" x14ac:dyDescent="0.35">
      <c r="H147" s="671"/>
      <c r="I147" s="671"/>
      <c r="J147" s="671"/>
      <c r="K147" s="671"/>
      <c r="L147" s="671"/>
      <c r="M147" s="671"/>
      <c r="N147" s="671"/>
      <c r="O147" s="671"/>
      <c r="P147" s="671"/>
      <c r="Q147" s="671"/>
      <c r="R147" s="671"/>
      <c r="S147" s="671"/>
      <c r="T147" s="671"/>
      <c r="U147" s="671"/>
      <c r="V147" s="671"/>
      <c r="W147" s="671"/>
      <c r="X147" s="671"/>
    </row>
    <row r="148" spans="8:24" x14ac:dyDescent="0.35">
      <c r="H148" s="671"/>
      <c r="I148" s="671"/>
      <c r="J148" s="671"/>
      <c r="K148" s="671"/>
      <c r="L148" s="671"/>
      <c r="M148" s="671"/>
      <c r="N148" s="671"/>
      <c r="O148" s="671"/>
      <c r="P148" s="671"/>
      <c r="Q148" s="671"/>
      <c r="R148" s="671"/>
      <c r="S148" s="671"/>
      <c r="T148" s="671"/>
      <c r="U148" s="671"/>
      <c r="V148" s="671"/>
      <c r="W148" s="671"/>
      <c r="X148" s="671"/>
    </row>
    <row r="149" spans="8:24" x14ac:dyDescent="0.35">
      <c r="H149" s="671"/>
      <c r="I149" s="671"/>
      <c r="J149" s="671"/>
      <c r="K149" s="671"/>
      <c r="L149" s="671"/>
      <c r="M149" s="671"/>
      <c r="N149" s="671"/>
      <c r="O149" s="671"/>
      <c r="P149" s="671"/>
      <c r="Q149" s="671"/>
      <c r="R149" s="671"/>
      <c r="S149" s="671"/>
      <c r="T149" s="671"/>
      <c r="U149" s="671"/>
      <c r="V149" s="671"/>
      <c r="W149" s="671"/>
      <c r="X149" s="671"/>
    </row>
    <row r="150" spans="8:24" x14ac:dyDescent="0.35">
      <c r="H150" s="671"/>
      <c r="I150" s="671"/>
      <c r="J150" s="671"/>
      <c r="K150" s="671"/>
      <c r="L150" s="671"/>
      <c r="M150" s="671"/>
      <c r="N150" s="671"/>
      <c r="O150" s="671"/>
      <c r="P150" s="671"/>
      <c r="Q150" s="671"/>
      <c r="R150" s="671"/>
      <c r="S150" s="671"/>
      <c r="T150" s="671"/>
      <c r="U150" s="671"/>
      <c r="V150" s="671"/>
      <c r="W150" s="671"/>
      <c r="X150" s="671"/>
    </row>
    <row r="151" spans="8:24" x14ac:dyDescent="0.35">
      <c r="H151" s="671"/>
      <c r="I151" s="671"/>
      <c r="J151" s="671"/>
      <c r="K151" s="671"/>
      <c r="L151" s="671"/>
      <c r="M151" s="671"/>
      <c r="N151" s="671"/>
      <c r="O151" s="671"/>
      <c r="P151" s="671"/>
      <c r="Q151" s="671"/>
      <c r="R151" s="671"/>
      <c r="S151" s="671"/>
      <c r="T151" s="671"/>
      <c r="U151" s="671"/>
      <c r="V151" s="671"/>
      <c r="W151" s="671"/>
      <c r="X151" s="671"/>
    </row>
    <row r="152" spans="8:24" x14ac:dyDescent="0.35">
      <c r="H152" s="671"/>
      <c r="I152" s="671"/>
      <c r="J152" s="671"/>
      <c r="K152" s="671"/>
      <c r="L152" s="671"/>
      <c r="M152" s="671"/>
      <c r="N152" s="671"/>
      <c r="O152" s="671"/>
      <c r="P152" s="671"/>
      <c r="Q152" s="671"/>
      <c r="R152" s="671"/>
      <c r="S152" s="671"/>
      <c r="T152" s="671"/>
      <c r="U152" s="671"/>
      <c r="V152" s="671"/>
      <c r="W152" s="671"/>
      <c r="X152" s="671"/>
    </row>
    <row r="153" spans="8:24" x14ac:dyDescent="0.35">
      <c r="H153" s="671"/>
      <c r="I153" s="671"/>
      <c r="J153" s="671"/>
      <c r="K153" s="671"/>
      <c r="L153" s="671"/>
      <c r="M153" s="671"/>
      <c r="N153" s="671"/>
      <c r="O153" s="671"/>
      <c r="P153" s="671"/>
      <c r="Q153" s="671"/>
      <c r="R153" s="671"/>
      <c r="S153" s="671"/>
      <c r="T153" s="671"/>
      <c r="U153" s="671"/>
      <c r="V153" s="671"/>
      <c r="W153" s="671"/>
      <c r="X153" s="671"/>
    </row>
    <row r="154" spans="8:24" x14ac:dyDescent="0.35">
      <c r="H154" s="671"/>
      <c r="I154" s="671"/>
      <c r="J154" s="671"/>
      <c r="K154" s="671"/>
      <c r="L154" s="671"/>
      <c r="M154" s="671"/>
      <c r="N154" s="671"/>
      <c r="O154" s="671"/>
      <c r="P154" s="671"/>
      <c r="Q154" s="671"/>
      <c r="R154" s="671"/>
      <c r="S154" s="671"/>
      <c r="T154" s="671"/>
      <c r="U154" s="671"/>
      <c r="V154" s="671"/>
      <c r="W154" s="671"/>
      <c r="X154" s="671"/>
    </row>
    <row r="155" spans="8:24" x14ac:dyDescent="0.35">
      <c r="H155" s="671"/>
      <c r="I155" s="671"/>
      <c r="J155" s="671"/>
      <c r="K155" s="671"/>
      <c r="L155" s="671"/>
      <c r="M155" s="671"/>
      <c r="N155" s="671"/>
      <c r="O155" s="671"/>
      <c r="P155" s="671"/>
      <c r="Q155" s="671"/>
      <c r="R155" s="671"/>
      <c r="S155" s="671"/>
      <c r="T155" s="671"/>
      <c r="U155" s="671"/>
      <c r="V155" s="671"/>
      <c r="W155" s="671"/>
      <c r="X155" s="671"/>
    </row>
    <row r="156" spans="8:24" x14ac:dyDescent="0.35">
      <c r="H156" s="671"/>
      <c r="I156" s="671"/>
      <c r="J156" s="671"/>
      <c r="K156" s="671"/>
      <c r="L156" s="671"/>
      <c r="M156" s="671"/>
      <c r="N156" s="671"/>
      <c r="O156" s="671"/>
      <c r="P156" s="671"/>
      <c r="Q156" s="671"/>
      <c r="R156" s="671"/>
      <c r="S156" s="671"/>
      <c r="T156" s="671"/>
      <c r="U156" s="671"/>
      <c r="V156" s="671"/>
      <c r="W156" s="671"/>
      <c r="X156" s="671"/>
    </row>
    <row r="157" spans="8:24" x14ac:dyDescent="0.35">
      <c r="H157" s="671"/>
      <c r="I157" s="671"/>
      <c r="J157" s="671"/>
      <c r="K157" s="671"/>
      <c r="L157" s="671"/>
      <c r="M157" s="671"/>
      <c r="N157" s="671"/>
      <c r="O157" s="671"/>
      <c r="P157" s="671"/>
      <c r="Q157" s="671"/>
      <c r="R157" s="671"/>
      <c r="S157" s="671"/>
      <c r="T157" s="671"/>
      <c r="U157" s="671"/>
      <c r="V157" s="671"/>
      <c r="W157" s="671"/>
      <c r="X157" s="671"/>
    </row>
    <row r="158" spans="8:24" x14ac:dyDescent="0.35">
      <c r="H158" s="671"/>
      <c r="I158" s="671"/>
      <c r="J158" s="671"/>
      <c r="K158" s="671"/>
      <c r="L158" s="671"/>
      <c r="M158" s="671"/>
      <c r="N158" s="671"/>
      <c r="O158" s="671"/>
      <c r="P158" s="671"/>
      <c r="Q158" s="671"/>
      <c r="R158" s="671"/>
      <c r="S158" s="671"/>
      <c r="T158" s="671"/>
      <c r="U158" s="671"/>
      <c r="V158" s="671"/>
      <c r="W158" s="671"/>
      <c r="X158" s="671"/>
    </row>
    <row r="159" spans="8:24" x14ac:dyDescent="0.35">
      <c r="H159" s="671"/>
      <c r="I159" s="671"/>
      <c r="J159" s="671"/>
      <c r="K159" s="671"/>
      <c r="L159" s="671"/>
      <c r="M159" s="671"/>
      <c r="N159" s="671"/>
      <c r="O159" s="671"/>
      <c r="P159" s="671"/>
      <c r="Q159" s="671"/>
      <c r="R159" s="671"/>
      <c r="S159" s="671"/>
      <c r="T159" s="671"/>
      <c r="U159" s="671"/>
      <c r="V159" s="671"/>
      <c r="W159" s="671"/>
      <c r="X159" s="671"/>
    </row>
    <row r="160" spans="8:24" x14ac:dyDescent="0.35">
      <c r="H160" s="671"/>
      <c r="I160" s="671"/>
      <c r="J160" s="671"/>
      <c r="K160" s="671"/>
      <c r="L160" s="671"/>
      <c r="M160" s="671"/>
      <c r="N160" s="671"/>
      <c r="O160" s="671"/>
      <c r="P160" s="671"/>
      <c r="Q160" s="671"/>
      <c r="R160" s="671"/>
      <c r="S160" s="671"/>
      <c r="T160" s="671"/>
      <c r="U160" s="671"/>
      <c r="V160" s="671"/>
      <c r="W160" s="671"/>
      <c r="X160" s="671"/>
    </row>
    <row r="161" spans="8:24" x14ac:dyDescent="0.35">
      <c r="H161" s="671"/>
      <c r="I161" s="671"/>
      <c r="J161" s="671"/>
      <c r="K161" s="671"/>
      <c r="L161" s="671"/>
      <c r="M161" s="671"/>
      <c r="N161" s="671"/>
      <c r="O161" s="671"/>
      <c r="P161" s="671"/>
      <c r="Q161" s="671"/>
      <c r="R161" s="671"/>
      <c r="S161" s="671"/>
      <c r="T161" s="671"/>
      <c r="U161" s="671"/>
      <c r="V161" s="671"/>
      <c r="W161" s="671"/>
      <c r="X161" s="671"/>
    </row>
    <row r="162" spans="8:24" x14ac:dyDescent="0.35">
      <c r="H162" s="671"/>
      <c r="I162" s="671"/>
      <c r="J162" s="671"/>
      <c r="K162" s="671"/>
      <c r="L162" s="671"/>
      <c r="M162" s="671"/>
      <c r="N162" s="671"/>
      <c r="O162" s="671"/>
      <c r="P162" s="671"/>
      <c r="Q162" s="671"/>
      <c r="R162" s="671"/>
      <c r="S162" s="671"/>
      <c r="T162" s="671"/>
      <c r="U162" s="671"/>
      <c r="V162" s="671"/>
      <c r="W162" s="671"/>
      <c r="X162" s="671"/>
    </row>
    <row r="163" spans="8:24" x14ac:dyDescent="0.35">
      <c r="H163" s="671"/>
      <c r="I163" s="671"/>
      <c r="J163" s="671"/>
      <c r="K163" s="671"/>
      <c r="L163" s="671"/>
      <c r="M163" s="671"/>
      <c r="N163" s="671"/>
      <c r="O163" s="671"/>
      <c r="P163" s="671"/>
      <c r="Q163" s="671"/>
      <c r="R163" s="671"/>
      <c r="S163" s="671"/>
      <c r="T163" s="671"/>
      <c r="U163" s="671"/>
      <c r="V163" s="671"/>
      <c r="W163" s="671"/>
      <c r="X163" s="671"/>
    </row>
    <row r="164" spans="8:24" x14ac:dyDescent="0.35">
      <c r="H164" s="671"/>
      <c r="I164" s="671"/>
      <c r="J164" s="671"/>
      <c r="K164" s="671"/>
      <c r="L164" s="671"/>
      <c r="M164" s="671"/>
      <c r="N164" s="671"/>
      <c r="O164" s="671"/>
      <c r="P164" s="671"/>
      <c r="Q164" s="671"/>
      <c r="R164" s="671"/>
      <c r="S164" s="671"/>
      <c r="T164" s="671"/>
      <c r="U164" s="671"/>
      <c r="V164" s="671"/>
      <c r="W164" s="671"/>
      <c r="X164" s="671"/>
    </row>
    <row r="165" spans="8:24" x14ac:dyDescent="0.35">
      <c r="H165" s="671"/>
      <c r="I165" s="671"/>
      <c r="J165" s="671"/>
      <c r="K165" s="671"/>
      <c r="L165" s="671"/>
      <c r="M165" s="671"/>
      <c r="N165" s="671"/>
      <c r="O165" s="671"/>
      <c r="P165" s="671"/>
      <c r="Q165" s="671"/>
      <c r="R165" s="671"/>
      <c r="S165" s="671"/>
      <c r="T165" s="671"/>
      <c r="U165" s="671"/>
      <c r="V165" s="671"/>
      <c r="W165" s="671"/>
      <c r="X165" s="671"/>
    </row>
    <row r="166" spans="8:24" x14ac:dyDescent="0.35">
      <c r="H166" s="671"/>
      <c r="I166" s="671"/>
      <c r="J166" s="671"/>
      <c r="K166" s="671"/>
      <c r="L166" s="671"/>
      <c r="M166" s="671"/>
      <c r="N166" s="671"/>
      <c r="O166" s="671"/>
      <c r="P166" s="671"/>
      <c r="Q166" s="671"/>
      <c r="R166" s="671"/>
      <c r="S166" s="671"/>
      <c r="T166" s="671"/>
      <c r="U166" s="671"/>
      <c r="V166" s="671"/>
      <c r="W166" s="671"/>
      <c r="X166" s="671"/>
    </row>
    <row r="167" spans="8:24" x14ac:dyDescent="0.35">
      <c r="H167" s="671"/>
      <c r="I167" s="671"/>
      <c r="J167" s="671"/>
      <c r="K167" s="671"/>
      <c r="L167" s="671"/>
      <c r="M167" s="671"/>
      <c r="N167" s="671"/>
      <c r="O167" s="671"/>
      <c r="P167" s="671"/>
      <c r="Q167" s="671"/>
      <c r="R167" s="671"/>
      <c r="S167" s="671"/>
      <c r="T167" s="671"/>
      <c r="U167" s="671"/>
      <c r="V167" s="671"/>
      <c r="W167" s="671"/>
      <c r="X167" s="671"/>
    </row>
    <row r="168" spans="8:24" x14ac:dyDescent="0.35">
      <c r="H168" s="671"/>
      <c r="I168" s="671"/>
      <c r="J168" s="671"/>
      <c r="K168" s="671"/>
      <c r="L168" s="671"/>
      <c r="M168" s="671"/>
      <c r="N168" s="671"/>
      <c r="O168" s="671"/>
      <c r="P168" s="671"/>
      <c r="Q168" s="671"/>
      <c r="R168" s="671"/>
      <c r="S168" s="671"/>
      <c r="T168" s="671"/>
      <c r="U168" s="671"/>
      <c r="V168" s="671"/>
      <c r="W168" s="671"/>
      <c r="X168" s="671"/>
    </row>
    <row r="169" spans="8:24" x14ac:dyDescent="0.35">
      <c r="H169" s="671"/>
      <c r="I169" s="671"/>
      <c r="J169" s="671"/>
      <c r="K169" s="671"/>
      <c r="L169" s="671"/>
      <c r="M169" s="671"/>
      <c r="N169" s="671"/>
      <c r="O169" s="671"/>
      <c r="P169" s="671"/>
      <c r="Q169" s="671"/>
      <c r="R169" s="671"/>
      <c r="S169" s="671"/>
      <c r="T169" s="671"/>
      <c r="U169" s="671"/>
      <c r="V169" s="671"/>
      <c r="W169" s="671"/>
      <c r="X169" s="671"/>
    </row>
    <row r="170" spans="8:24" x14ac:dyDescent="0.35">
      <c r="H170" s="671"/>
      <c r="I170" s="671"/>
      <c r="J170" s="671"/>
      <c r="K170" s="671"/>
      <c r="L170" s="671"/>
      <c r="M170" s="671"/>
      <c r="N170" s="671"/>
      <c r="O170" s="671"/>
      <c r="P170" s="671"/>
      <c r="Q170" s="671"/>
      <c r="R170" s="671"/>
      <c r="S170" s="671"/>
      <c r="T170" s="671"/>
      <c r="U170" s="671"/>
      <c r="V170" s="671"/>
      <c r="W170" s="671"/>
      <c r="X170" s="671"/>
    </row>
    <row r="171" spans="8:24" x14ac:dyDescent="0.35">
      <c r="H171" s="671"/>
      <c r="I171" s="671"/>
      <c r="J171" s="671"/>
      <c r="K171" s="671"/>
      <c r="L171" s="671"/>
      <c r="M171" s="671"/>
      <c r="N171" s="671"/>
      <c r="O171" s="671"/>
      <c r="P171" s="671"/>
      <c r="Q171" s="671"/>
      <c r="R171" s="671"/>
      <c r="S171" s="671"/>
      <c r="T171" s="671"/>
      <c r="U171" s="671"/>
      <c r="V171" s="671"/>
      <c r="W171" s="671"/>
      <c r="X171" s="671"/>
    </row>
    <row r="172" spans="8:24" x14ac:dyDescent="0.35">
      <c r="H172" s="671"/>
      <c r="I172" s="671"/>
      <c r="J172" s="671"/>
      <c r="K172" s="671"/>
      <c r="L172" s="671"/>
      <c r="M172" s="671"/>
      <c r="N172" s="671"/>
      <c r="O172" s="671"/>
      <c r="P172" s="671"/>
      <c r="Q172" s="671"/>
      <c r="R172" s="671"/>
      <c r="S172" s="671"/>
      <c r="T172" s="671"/>
      <c r="U172" s="671"/>
      <c r="V172" s="671"/>
      <c r="W172" s="671"/>
      <c r="X172" s="671"/>
    </row>
    <row r="173" spans="8:24" x14ac:dyDescent="0.35">
      <c r="H173" s="671"/>
      <c r="I173" s="671"/>
      <c r="J173" s="671"/>
      <c r="K173" s="671"/>
      <c r="L173" s="671"/>
      <c r="M173" s="671"/>
      <c r="N173" s="671"/>
      <c r="O173" s="671"/>
      <c r="P173" s="671"/>
      <c r="Q173" s="671"/>
      <c r="R173" s="671"/>
      <c r="S173" s="671"/>
      <c r="T173" s="671"/>
      <c r="U173" s="671"/>
      <c r="V173" s="671"/>
      <c r="W173" s="671"/>
      <c r="X173" s="671"/>
    </row>
    <row r="174" spans="8:24" x14ac:dyDescent="0.35">
      <c r="H174" s="671"/>
      <c r="I174" s="671"/>
      <c r="J174" s="671"/>
      <c r="K174" s="671"/>
      <c r="L174" s="671"/>
      <c r="M174" s="671"/>
      <c r="N174" s="671"/>
      <c r="O174" s="671"/>
      <c r="P174" s="671"/>
      <c r="Q174" s="671"/>
      <c r="R174" s="671"/>
      <c r="S174" s="671"/>
      <c r="T174" s="671"/>
      <c r="U174" s="671"/>
      <c r="V174" s="671"/>
      <c r="W174" s="671"/>
      <c r="X174" s="671"/>
    </row>
    <row r="175" spans="8:24" x14ac:dyDescent="0.35">
      <c r="H175" s="671"/>
      <c r="I175" s="671"/>
      <c r="J175" s="671"/>
      <c r="K175" s="671"/>
      <c r="L175" s="671"/>
      <c r="M175" s="671"/>
      <c r="N175" s="671"/>
      <c r="O175" s="671"/>
      <c r="P175" s="671"/>
      <c r="Q175" s="671"/>
      <c r="R175" s="671"/>
      <c r="S175" s="671"/>
      <c r="T175" s="671"/>
      <c r="U175" s="671"/>
      <c r="V175" s="671"/>
      <c r="W175" s="671"/>
      <c r="X175" s="671"/>
    </row>
    <row r="176" spans="8:24" x14ac:dyDescent="0.35">
      <c r="H176" s="671"/>
      <c r="I176" s="671"/>
      <c r="J176" s="671"/>
      <c r="K176" s="671"/>
      <c r="L176" s="671"/>
      <c r="M176" s="671"/>
      <c r="N176" s="671"/>
      <c r="O176" s="671"/>
      <c r="P176" s="671"/>
      <c r="Q176" s="671"/>
      <c r="R176" s="671"/>
      <c r="S176" s="671"/>
      <c r="T176" s="671"/>
      <c r="U176" s="671"/>
      <c r="V176" s="671"/>
      <c r="W176" s="671"/>
      <c r="X176" s="671"/>
    </row>
    <row r="177" spans="8:24" x14ac:dyDescent="0.35">
      <c r="H177" s="671"/>
      <c r="I177" s="671"/>
      <c r="J177" s="671"/>
      <c r="K177" s="671"/>
      <c r="L177" s="671"/>
      <c r="M177" s="671"/>
      <c r="N177" s="671"/>
      <c r="O177" s="671"/>
      <c r="P177" s="671"/>
      <c r="Q177" s="671"/>
      <c r="R177" s="671"/>
      <c r="S177" s="671"/>
      <c r="T177" s="671"/>
      <c r="U177" s="671"/>
      <c r="V177" s="671"/>
      <c r="W177" s="671"/>
      <c r="X177" s="671"/>
    </row>
    <row r="178" spans="8:24" x14ac:dyDescent="0.35">
      <c r="H178" s="671"/>
      <c r="I178" s="671"/>
      <c r="J178" s="671"/>
      <c r="K178" s="671"/>
      <c r="L178" s="671"/>
      <c r="M178" s="671"/>
      <c r="N178" s="671"/>
      <c r="O178" s="671"/>
      <c r="P178" s="671"/>
      <c r="Q178" s="671"/>
      <c r="R178" s="671"/>
      <c r="S178" s="671"/>
      <c r="T178" s="671"/>
      <c r="U178" s="671"/>
      <c r="V178" s="671"/>
      <c r="W178" s="671"/>
      <c r="X178" s="671"/>
    </row>
    <row r="179" spans="8:24" x14ac:dyDescent="0.35">
      <c r="H179" s="671"/>
      <c r="I179" s="671"/>
      <c r="J179" s="671"/>
      <c r="K179" s="671"/>
      <c r="L179" s="671"/>
      <c r="M179" s="671"/>
      <c r="N179" s="671"/>
      <c r="O179" s="671"/>
      <c r="P179" s="671"/>
      <c r="Q179" s="671"/>
      <c r="R179" s="671"/>
      <c r="S179" s="671"/>
      <c r="T179" s="671"/>
      <c r="U179" s="671"/>
      <c r="V179" s="671"/>
      <c r="W179" s="671"/>
      <c r="X179" s="671"/>
    </row>
    <row r="180" spans="8:24" x14ac:dyDescent="0.35">
      <c r="H180" s="671"/>
      <c r="I180" s="671"/>
      <c r="J180" s="671"/>
      <c r="K180" s="671"/>
      <c r="L180" s="671"/>
      <c r="M180" s="671"/>
      <c r="N180" s="671"/>
      <c r="O180" s="671"/>
      <c r="P180" s="671"/>
      <c r="Q180" s="671"/>
      <c r="R180" s="671"/>
      <c r="S180" s="671"/>
      <c r="T180" s="671"/>
      <c r="U180" s="671"/>
      <c r="V180" s="671"/>
      <c r="W180" s="671"/>
      <c r="X180" s="671"/>
    </row>
    <row r="181" spans="8:24" x14ac:dyDescent="0.35">
      <c r="H181" s="671"/>
      <c r="I181" s="671"/>
      <c r="J181" s="671"/>
      <c r="K181" s="671"/>
      <c r="L181" s="671"/>
      <c r="M181" s="671"/>
      <c r="N181" s="671"/>
      <c r="O181" s="671"/>
      <c r="P181" s="671"/>
      <c r="Q181" s="671"/>
      <c r="R181" s="671"/>
      <c r="S181" s="671"/>
      <c r="T181" s="671"/>
      <c r="U181" s="671"/>
      <c r="V181" s="671"/>
      <c r="W181" s="671"/>
      <c r="X181" s="671"/>
    </row>
    <row r="182" spans="8:24" x14ac:dyDescent="0.35">
      <c r="H182" s="671"/>
      <c r="I182" s="671"/>
      <c r="J182" s="671"/>
      <c r="K182" s="671"/>
      <c r="L182" s="671"/>
      <c r="M182" s="671"/>
      <c r="N182" s="671"/>
      <c r="O182" s="671"/>
      <c r="P182" s="671"/>
      <c r="Q182" s="671"/>
      <c r="R182" s="671"/>
      <c r="S182" s="671"/>
      <c r="T182" s="671"/>
      <c r="U182" s="671"/>
      <c r="V182" s="671"/>
      <c r="W182" s="671"/>
      <c r="X182" s="671"/>
    </row>
    <row r="183" spans="8:24" x14ac:dyDescent="0.35">
      <c r="H183" s="671"/>
      <c r="I183" s="671"/>
      <c r="J183" s="671"/>
      <c r="K183" s="671"/>
      <c r="L183" s="671"/>
      <c r="M183" s="671"/>
      <c r="N183" s="671"/>
      <c r="O183" s="671"/>
      <c r="P183" s="671"/>
      <c r="Q183" s="671"/>
      <c r="R183" s="671"/>
      <c r="S183" s="671"/>
      <c r="T183" s="671"/>
      <c r="U183" s="671"/>
      <c r="V183" s="671"/>
      <c r="W183" s="671"/>
      <c r="X183" s="671"/>
    </row>
    <row r="184" spans="8:24" x14ac:dyDescent="0.35">
      <c r="H184" s="671"/>
      <c r="I184" s="671"/>
      <c r="J184" s="671"/>
      <c r="K184" s="671"/>
      <c r="L184" s="671"/>
      <c r="M184" s="671"/>
      <c r="N184" s="671"/>
      <c r="O184" s="671"/>
      <c r="P184" s="671"/>
      <c r="Q184" s="671"/>
      <c r="R184" s="671"/>
      <c r="S184" s="671"/>
      <c r="T184" s="671"/>
      <c r="U184" s="671"/>
      <c r="V184" s="671"/>
      <c r="W184" s="671"/>
      <c r="X184" s="671"/>
    </row>
    <row r="185" spans="8:24" x14ac:dyDescent="0.35">
      <c r="H185" s="671"/>
      <c r="I185" s="671"/>
      <c r="J185" s="671"/>
      <c r="K185" s="671"/>
      <c r="L185" s="671"/>
      <c r="M185" s="671"/>
      <c r="N185" s="671"/>
      <c r="O185" s="671"/>
      <c r="P185" s="671"/>
      <c r="Q185" s="671"/>
      <c r="R185" s="671"/>
      <c r="S185" s="671"/>
      <c r="T185" s="671"/>
      <c r="U185" s="671"/>
      <c r="V185" s="671"/>
      <c r="W185" s="671"/>
      <c r="X185" s="671"/>
    </row>
    <row r="186" spans="8:24" x14ac:dyDescent="0.35">
      <c r="H186" s="671"/>
      <c r="I186" s="671"/>
      <c r="J186" s="671"/>
      <c r="K186" s="671"/>
      <c r="L186" s="671"/>
      <c r="M186" s="671"/>
      <c r="N186" s="671"/>
      <c r="O186" s="671"/>
      <c r="P186" s="671"/>
      <c r="Q186" s="671"/>
      <c r="R186" s="671"/>
      <c r="S186" s="671"/>
      <c r="T186" s="671"/>
      <c r="U186" s="671"/>
      <c r="V186" s="671"/>
      <c r="W186" s="671"/>
      <c r="X186" s="671"/>
    </row>
    <row r="187" spans="8:24" x14ac:dyDescent="0.35">
      <c r="H187" s="671"/>
      <c r="I187" s="671"/>
      <c r="J187" s="671"/>
      <c r="K187" s="671"/>
      <c r="L187" s="671"/>
      <c r="M187" s="671"/>
      <c r="N187" s="671"/>
      <c r="O187" s="671"/>
      <c r="P187" s="671"/>
      <c r="Q187" s="671"/>
      <c r="R187" s="671"/>
      <c r="S187" s="671"/>
      <c r="T187" s="671"/>
      <c r="U187" s="671"/>
      <c r="V187" s="671"/>
      <c r="W187" s="671"/>
      <c r="X187" s="671"/>
    </row>
    <row r="188" spans="8:24" x14ac:dyDescent="0.35">
      <c r="H188" s="671"/>
      <c r="I188" s="671"/>
      <c r="J188" s="671"/>
      <c r="K188" s="671"/>
      <c r="L188" s="671"/>
      <c r="M188" s="671"/>
      <c r="N188" s="671"/>
      <c r="O188" s="671"/>
      <c r="P188" s="671"/>
      <c r="Q188" s="671"/>
      <c r="R188" s="671"/>
      <c r="S188" s="671"/>
      <c r="T188" s="671"/>
      <c r="U188" s="671"/>
      <c r="V188" s="671"/>
      <c r="W188" s="671"/>
      <c r="X188" s="671"/>
    </row>
    <row r="189" spans="8:24" x14ac:dyDescent="0.35">
      <c r="H189" s="671"/>
      <c r="I189" s="671"/>
      <c r="J189" s="671"/>
      <c r="K189" s="671"/>
      <c r="L189" s="671"/>
      <c r="M189" s="671"/>
      <c r="N189" s="671"/>
      <c r="O189" s="671"/>
      <c r="P189" s="671"/>
      <c r="Q189" s="671"/>
      <c r="R189" s="671"/>
      <c r="S189" s="671"/>
      <c r="T189" s="671"/>
      <c r="U189" s="671"/>
      <c r="V189" s="671"/>
      <c r="W189" s="671"/>
      <c r="X189" s="671"/>
    </row>
    <row r="190" spans="8:24" x14ac:dyDescent="0.35">
      <c r="H190" s="671"/>
      <c r="I190" s="671"/>
      <c r="J190" s="671"/>
      <c r="K190" s="671"/>
      <c r="L190" s="671"/>
      <c r="M190" s="671"/>
      <c r="N190" s="671"/>
      <c r="O190" s="671"/>
      <c r="P190" s="671"/>
      <c r="Q190" s="671"/>
      <c r="R190" s="671"/>
      <c r="S190" s="671"/>
      <c r="T190" s="671"/>
      <c r="U190" s="671"/>
      <c r="V190" s="671"/>
      <c r="W190" s="671"/>
      <c r="X190" s="671"/>
    </row>
    <row r="191" spans="8:24" x14ac:dyDescent="0.35">
      <c r="H191" s="671"/>
      <c r="I191" s="671"/>
      <c r="J191" s="671"/>
      <c r="K191" s="671"/>
      <c r="L191" s="671"/>
      <c r="M191" s="671"/>
      <c r="N191" s="671"/>
      <c r="O191" s="671"/>
      <c r="P191" s="671"/>
      <c r="Q191" s="671"/>
      <c r="R191" s="671"/>
      <c r="S191" s="671"/>
      <c r="T191" s="671"/>
      <c r="U191" s="671"/>
      <c r="V191" s="671"/>
      <c r="W191" s="671"/>
      <c r="X191" s="671"/>
    </row>
    <row r="192" spans="8:24" x14ac:dyDescent="0.35">
      <c r="H192" s="671"/>
      <c r="I192" s="671"/>
      <c r="J192" s="671"/>
      <c r="K192" s="671"/>
      <c r="L192" s="671"/>
      <c r="M192" s="671"/>
      <c r="N192" s="671"/>
      <c r="O192" s="671"/>
      <c r="P192" s="671"/>
      <c r="Q192" s="671"/>
      <c r="R192" s="671"/>
      <c r="S192" s="671"/>
      <c r="T192" s="671"/>
      <c r="U192" s="671"/>
      <c r="V192" s="671"/>
      <c r="W192" s="671"/>
      <c r="X192" s="671"/>
    </row>
    <row r="193" spans="8:24" x14ac:dyDescent="0.35">
      <c r="H193" s="671"/>
      <c r="I193" s="671"/>
      <c r="J193" s="671"/>
      <c r="K193" s="671"/>
      <c r="L193" s="671"/>
      <c r="M193" s="671"/>
      <c r="N193" s="671"/>
      <c r="O193" s="671"/>
      <c r="P193" s="671"/>
      <c r="Q193" s="671"/>
      <c r="R193" s="671"/>
      <c r="S193" s="671"/>
      <c r="T193" s="671"/>
      <c r="U193" s="671"/>
      <c r="V193" s="671"/>
      <c r="W193" s="671"/>
      <c r="X193" s="671"/>
    </row>
    <row r="194" spans="8:24" x14ac:dyDescent="0.35">
      <c r="H194" s="671"/>
      <c r="I194" s="671"/>
      <c r="J194" s="671"/>
      <c r="K194" s="671"/>
      <c r="L194" s="671"/>
      <c r="M194" s="671"/>
      <c r="N194" s="671"/>
      <c r="O194" s="671"/>
      <c r="P194" s="671"/>
      <c r="Q194" s="671"/>
      <c r="R194" s="671"/>
      <c r="S194" s="671"/>
      <c r="T194" s="671"/>
      <c r="U194" s="671"/>
      <c r="V194" s="671"/>
      <c r="W194" s="671"/>
      <c r="X194" s="671"/>
    </row>
    <row r="195" spans="8:24" x14ac:dyDescent="0.35">
      <c r="H195" s="671"/>
      <c r="I195" s="671"/>
      <c r="J195" s="671"/>
      <c r="K195" s="671"/>
      <c r="L195" s="671"/>
      <c r="M195" s="671"/>
      <c r="N195" s="671"/>
      <c r="O195" s="671"/>
      <c r="P195" s="671"/>
      <c r="Q195" s="671"/>
      <c r="R195" s="671"/>
      <c r="S195" s="671"/>
      <c r="T195" s="671"/>
      <c r="U195" s="671"/>
      <c r="V195" s="671"/>
      <c r="W195" s="671"/>
      <c r="X195" s="671"/>
    </row>
    <row r="196" spans="8:24" x14ac:dyDescent="0.35">
      <c r="H196" s="671"/>
      <c r="I196" s="671"/>
      <c r="J196" s="671"/>
      <c r="K196" s="671"/>
      <c r="L196" s="671"/>
      <c r="M196" s="671"/>
      <c r="N196" s="671"/>
      <c r="O196" s="671"/>
      <c r="P196" s="671"/>
      <c r="Q196" s="671"/>
      <c r="R196" s="671"/>
      <c r="S196" s="671"/>
      <c r="T196" s="671"/>
      <c r="U196" s="671"/>
      <c r="V196" s="671"/>
      <c r="W196" s="671"/>
      <c r="X196" s="671"/>
    </row>
    <row r="197" spans="8:24" x14ac:dyDescent="0.35">
      <c r="H197" s="671"/>
      <c r="I197" s="671"/>
      <c r="J197" s="671"/>
      <c r="K197" s="671"/>
      <c r="L197" s="671"/>
      <c r="M197" s="671"/>
      <c r="N197" s="671"/>
      <c r="O197" s="671"/>
      <c r="P197" s="671"/>
      <c r="Q197" s="671"/>
      <c r="R197" s="671"/>
      <c r="S197" s="671"/>
      <c r="T197" s="671"/>
      <c r="U197" s="671"/>
      <c r="V197" s="671"/>
      <c r="W197" s="671"/>
      <c r="X197" s="671"/>
    </row>
    <row r="198" spans="8:24" x14ac:dyDescent="0.35">
      <c r="H198" s="671"/>
      <c r="I198" s="671"/>
      <c r="J198" s="671"/>
      <c r="K198" s="671"/>
      <c r="L198" s="671"/>
      <c r="M198" s="671"/>
      <c r="N198" s="671"/>
      <c r="O198" s="671"/>
      <c r="P198" s="671"/>
      <c r="Q198" s="671"/>
      <c r="R198" s="671"/>
      <c r="S198" s="671"/>
      <c r="T198" s="671"/>
      <c r="U198" s="671"/>
      <c r="V198" s="671"/>
      <c r="W198" s="671"/>
      <c r="X198" s="671"/>
    </row>
    <row r="199" spans="8:24" x14ac:dyDescent="0.35">
      <c r="H199" s="671"/>
      <c r="I199" s="671"/>
      <c r="J199" s="671"/>
      <c r="K199" s="671"/>
      <c r="L199" s="671"/>
      <c r="M199" s="671"/>
      <c r="N199" s="671"/>
      <c r="O199" s="671"/>
      <c r="P199" s="671"/>
      <c r="Q199" s="671"/>
      <c r="R199" s="671"/>
      <c r="S199" s="671"/>
      <c r="T199" s="671"/>
      <c r="U199" s="671"/>
      <c r="V199" s="671"/>
      <c r="W199" s="671"/>
      <c r="X199" s="671"/>
    </row>
    <row r="200" spans="8:24" x14ac:dyDescent="0.35">
      <c r="H200" s="671"/>
      <c r="I200" s="671"/>
      <c r="J200" s="671"/>
      <c r="K200" s="671"/>
      <c r="L200" s="671"/>
      <c r="M200" s="671"/>
      <c r="N200" s="671"/>
      <c r="O200" s="671"/>
      <c r="P200" s="671"/>
      <c r="Q200" s="671"/>
      <c r="R200" s="671"/>
      <c r="S200" s="671"/>
      <c r="T200" s="671"/>
      <c r="U200" s="671"/>
      <c r="V200" s="671"/>
      <c r="W200" s="671"/>
      <c r="X200" s="671"/>
    </row>
    <row r="201" spans="8:24" x14ac:dyDescent="0.35">
      <c r="H201" s="671"/>
      <c r="I201" s="671"/>
      <c r="J201" s="671"/>
      <c r="K201" s="671"/>
      <c r="L201" s="671"/>
      <c r="M201" s="671"/>
      <c r="N201" s="671"/>
      <c r="O201" s="671"/>
      <c r="P201" s="671"/>
      <c r="Q201" s="671"/>
      <c r="R201" s="671"/>
      <c r="S201" s="671"/>
      <c r="T201" s="671"/>
      <c r="U201" s="671"/>
      <c r="V201" s="671"/>
      <c r="W201" s="671"/>
      <c r="X201" s="671"/>
    </row>
    <row r="202" spans="8:24" x14ac:dyDescent="0.35">
      <c r="H202" s="671"/>
      <c r="I202" s="671"/>
      <c r="J202" s="671"/>
      <c r="K202" s="671"/>
      <c r="L202" s="671"/>
      <c r="M202" s="671"/>
      <c r="N202" s="671"/>
      <c r="O202" s="671"/>
      <c r="P202" s="671"/>
      <c r="Q202" s="671"/>
      <c r="R202" s="671"/>
      <c r="S202" s="671"/>
      <c r="T202" s="671"/>
      <c r="U202" s="671"/>
      <c r="V202" s="671"/>
      <c r="W202" s="671"/>
      <c r="X202" s="671"/>
    </row>
    <row r="203" spans="8:24" x14ac:dyDescent="0.35">
      <c r="H203" s="671"/>
      <c r="I203" s="671"/>
      <c r="J203" s="671"/>
      <c r="K203" s="671"/>
      <c r="L203" s="671"/>
      <c r="M203" s="671"/>
      <c r="N203" s="671"/>
      <c r="O203" s="671"/>
      <c r="P203" s="671"/>
      <c r="Q203" s="671"/>
      <c r="R203" s="671"/>
      <c r="S203" s="671"/>
      <c r="T203" s="671"/>
      <c r="U203" s="671"/>
      <c r="V203" s="671"/>
      <c r="W203" s="671"/>
      <c r="X203" s="671"/>
    </row>
    <row r="204" spans="8:24" x14ac:dyDescent="0.35">
      <c r="H204" s="671"/>
      <c r="I204" s="671"/>
      <c r="J204" s="671"/>
      <c r="K204" s="671"/>
      <c r="L204" s="671"/>
      <c r="M204" s="671"/>
      <c r="N204" s="671"/>
      <c r="O204" s="671"/>
      <c r="P204" s="671"/>
      <c r="Q204" s="671"/>
      <c r="R204" s="671"/>
      <c r="S204" s="671"/>
      <c r="T204" s="671"/>
      <c r="U204" s="671"/>
      <c r="V204" s="671"/>
      <c r="W204" s="671"/>
      <c r="X204" s="671"/>
    </row>
    <row r="205" spans="8:24" x14ac:dyDescent="0.35">
      <c r="H205" s="671"/>
      <c r="I205" s="671"/>
      <c r="J205" s="671"/>
      <c r="K205" s="671"/>
      <c r="L205" s="671"/>
      <c r="M205" s="671"/>
      <c r="N205" s="671"/>
      <c r="O205" s="671"/>
      <c r="P205" s="671"/>
      <c r="Q205" s="671"/>
      <c r="R205" s="671"/>
      <c r="S205" s="671"/>
      <c r="T205" s="671"/>
      <c r="U205" s="671"/>
      <c r="V205" s="671"/>
      <c r="W205" s="671"/>
      <c r="X205" s="671"/>
    </row>
    <row r="206" spans="8:24" x14ac:dyDescent="0.35">
      <c r="H206" s="671"/>
      <c r="I206" s="671"/>
      <c r="J206" s="671"/>
      <c r="K206" s="671"/>
      <c r="L206" s="671"/>
      <c r="M206" s="671"/>
      <c r="N206" s="671"/>
      <c r="O206" s="671"/>
      <c r="P206" s="671"/>
      <c r="Q206" s="671"/>
      <c r="R206" s="671"/>
      <c r="S206" s="671"/>
      <c r="T206" s="671"/>
      <c r="U206" s="671"/>
      <c r="V206" s="671"/>
      <c r="W206" s="671"/>
      <c r="X206" s="671"/>
    </row>
    <row r="207" spans="8:24" x14ac:dyDescent="0.35">
      <c r="H207" s="671"/>
      <c r="I207" s="671"/>
      <c r="J207" s="671"/>
      <c r="K207" s="671"/>
      <c r="L207" s="671"/>
      <c r="M207" s="671"/>
      <c r="N207" s="671"/>
      <c r="O207" s="671"/>
      <c r="P207" s="671"/>
      <c r="Q207" s="671"/>
      <c r="R207" s="671"/>
      <c r="S207" s="671"/>
      <c r="T207" s="671"/>
      <c r="U207" s="671"/>
      <c r="V207" s="671"/>
      <c r="W207" s="671"/>
      <c r="X207" s="671"/>
    </row>
    <row r="208" spans="8:24" x14ac:dyDescent="0.35">
      <c r="H208" s="671"/>
      <c r="I208" s="671"/>
      <c r="J208" s="671"/>
      <c r="K208" s="671"/>
      <c r="L208" s="671"/>
      <c r="M208" s="671"/>
      <c r="N208" s="671"/>
      <c r="O208" s="671"/>
      <c r="P208" s="671"/>
      <c r="Q208" s="671"/>
      <c r="R208" s="671"/>
      <c r="S208" s="671"/>
      <c r="T208" s="671"/>
      <c r="U208" s="671"/>
      <c r="V208" s="671"/>
      <c r="W208" s="671"/>
      <c r="X208" s="671"/>
    </row>
    <row r="209" spans="8:24" x14ac:dyDescent="0.35">
      <c r="H209" s="671"/>
      <c r="I209" s="671"/>
      <c r="J209" s="671"/>
      <c r="K209" s="671"/>
      <c r="L209" s="671"/>
      <c r="M209" s="671"/>
      <c r="N209" s="671"/>
      <c r="O209" s="671"/>
      <c r="P209" s="671"/>
      <c r="Q209" s="671"/>
      <c r="R209" s="671"/>
      <c r="S209" s="671"/>
      <c r="T209" s="671"/>
      <c r="U209" s="671"/>
      <c r="V209" s="671"/>
      <c r="W209" s="671"/>
      <c r="X209" s="671"/>
    </row>
    <row r="210" spans="8:24" x14ac:dyDescent="0.35">
      <c r="H210" s="671"/>
      <c r="I210" s="671"/>
      <c r="J210" s="671"/>
      <c r="K210" s="671"/>
      <c r="L210" s="671"/>
      <c r="M210" s="671"/>
      <c r="N210" s="671"/>
      <c r="O210" s="671"/>
      <c r="P210" s="671"/>
      <c r="Q210" s="671"/>
      <c r="R210" s="671"/>
      <c r="S210" s="671"/>
      <c r="T210" s="671"/>
      <c r="U210" s="671"/>
      <c r="V210" s="671"/>
      <c r="W210" s="671"/>
      <c r="X210" s="671"/>
    </row>
    <row r="211" spans="8:24" x14ac:dyDescent="0.35">
      <c r="H211" s="671"/>
      <c r="I211" s="671"/>
      <c r="J211" s="671"/>
      <c r="K211" s="671"/>
      <c r="L211" s="671"/>
      <c r="M211" s="671"/>
      <c r="N211" s="671"/>
      <c r="O211" s="671"/>
      <c r="P211" s="671"/>
      <c r="Q211" s="671"/>
      <c r="R211" s="671"/>
      <c r="S211" s="671"/>
      <c r="T211" s="671"/>
      <c r="U211" s="671"/>
      <c r="V211" s="671"/>
      <c r="W211" s="671"/>
      <c r="X211" s="671"/>
    </row>
    <row r="212" spans="8:24" x14ac:dyDescent="0.35">
      <c r="H212" s="671"/>
      <c r="I212" s="671"/>
      <c r="J212" s="671"/>
      <c r="K212" s="671"/>
      <c r="L212" s="671"/>
      <c r="M212" s="671"/>
      <c r="N212" s="671"/>
      <c r="O212" s="671"/>
      <c r="P212" s="671"/>
      <c r="Q212" s="671"/>
      <c r="R212" s="671"/>
      <c r="S212" s="671"/>
      <c r="T212" s="671"/>
      <c r="U212" s="671"/>
      <c r="V212" s="671"/>
      <c r="W212" s="671"/>
      <c r="X212" s="671"/>
    </row>
    <row r="213" spans="8:24" x14ac:dyDescent="0.35">
      <c r="H213" s="671"/>
      <c r="I213" s="671"/>
      <c r="J213" s="671"/>
      <c r="K213" s="671"/>
      <c r="L213" s="671"/>
      <c r="M213" s="671"/>
      <c r="N213" s="671"/>
      <c r="O213" s="671"/>
      <c r="P213" s="671"/>
      <c r="Q213" s="671"/>
      <c r="R213" s="671"/>
      <c r="S213" s="671"/>
      <c r="T213" s="671"/>
      <c r="U213" s="671"/>
      <c r="V213" s="671"/>
      <c r="W213" s="671"/>
      <c r="X213" s="671"/>
    </row>
    <row r="214" spans="8:24" x14ac:dyDescent="0.35">
      <c r="H214" s="671"/>
      <c r="I214" s="671"/>
      <c r="J214" s="671"/>
      <c r="K214" s="671"/>
      <c r="L214" s="671"/>
      <c r="M214" s="671"/>
      <c r="N214" s="671"/>
      <c r="O214" s="671"/>
      <c r="P214" s="671"/>
      <c r="Q214" s="671"/>
      <c r="R214" s="671"/>
      <c r="S214" s="671"/>
      <c r="T214" s="671"/>
      <c r="U214" s="671"/>
      <c r="V214" s="671"/>
      <c r="W214" s="671"/>
      <c r="X214" s="671"/>
    </row>
    <row r="215" spans="8:24" x14ac:dyDescent="0.35">
      <c r="H215" s="671"/>
      <c r="I215" s="671"/>
      <c r="J215" s="671"/>
      <c r="K215" s="671"/>
      <c r="L215" s="671"/>
      <c r="M215" s="671"/>
      <c r="N215" s="671"/>
      <c r="O215" s="671"/>
      <c r="P215" s="671"/>
      <c r="Q215" s="671"/>
      <c r="R215" s="671"/>
      <c r="S215" s="671"/>
      <c r="T215" s="671"/>
      <c r="U215" s="671"/>
      <c r="V215" s="671"/>
      <c r="W215" s="671"/>
      <c r="X215" s="671"/>
    </row>
    <row r="216" spans="8:24" x14ac:dyDescent="0.35">
      <c r="H216" s="671"/>
      <c r="I216" s="671"/>
      <c r="J216" s="671"/>
      <c r="K216" s="671"/>
      <c r="L216" s="671"/>
      <c r="M216" s="671"/>
      <c r="N216" s="671"/>
      <c r="O216" s="671"/>
      <c r="P216" s="671"/>
      <c r="Q216" s="671"/>
      <c r="R216" s="671"/>
      <c r="S216" s="671"/>
      <c r="T216" s="671"/>
      <c r="U216" s="671"/>
      <c r="V216" s="671"/>
      <c r="W216" s="671"/>
      <c r="X216" s="671"/>
    </row>
    <row r="217" spans="8:24" x14ac:dyDescent="0.35">
      <c r="H217" s="671"/>
      <c r="I217" s="671"/>
      <c r="J217" s="671"/>
      <c r="K217" s="671"/>
      <c r="L217" s="671"/>
      <c r="M217" s="671"/>
      <c r="N217" s="671"/>
      <c r="O217" s="671"/>
      <c r="P217" s="671"/>
      <c r="Q217" s="671"/>
      <c r="R217" s="671"/>
      <c r="S217" s="671"/>
      <c r="T217" s="671"/>
      <c r="U217" s="671"/>
      <c r="V217" s="671"/>
      <c r="W217" s="671"/>
      <c r="X217" s="671"/>
    </row>
    <row r="218" spans="8:24" x14ac:dyDescent="0.35">
      <c r="H218" s="671"/>
      <c r="I218" s="671"/>
      <c r="J218" s="671"/>
      <c r="K218" s="671"/>
      <c r="L218" s="671"/>
      <c r="M218" s="671"/>
      <c r="N218" s="671"/>
      <c r="O218" s="671"/>
      <c r="P218" s="671"/>
      <c r="Q218" s="671"/>
      <c r="R218" s="671"/>
      <c r="S218" s="671"/>
      <c r="T218" s="671"/>
      <c r="U218" s="671"/>
      <c r="V218" s="671"/>
      <c r="W218" s="671"/>
      <c r="X218" s="671"/>
    </row>
    <row r="219" spans="8:24" x14ac:dyDescent="0.35">
      <c r="H219" s="671"/>
      <c r="I219" s="671"/>
      <c r="J219" s="671"/>
      <c r="K219" s="671"/>
      <c r="L219" s="671"/>
      <c r="M219" s="671"/>
      <c r="N219" s="671"/>
      <c r="O219" s="671"/>
      <c r="P219" s="671"/>
      <c r="Q219" s="671"/>
      <c r="R219" s="671"/>
      <c r="S219" s="671"/>
      <c r="T219" s="671"/>
      <c r="U219" s="671"/>
      <c r="V219" s="671"/>
      <c r="W219" s="671"/>
      <c r="X219" s="671"/>
    </row>
    <row r="220" spans="8:24" x14ac:dyDescent="0.35">
      <c r="H220" s="671"/>
      <c r="I220" s="671"/>
      <c r="J220" s="671"/>
      <c r="K220" s="671"/>
      <c r="L220" s="671"/>
      <c r="M220" s="671"/>
      <c r="N220" s="671"/>
      <c r="O220" s="671"/>
      <c r="P220" s="671"/>
      <c r="Q220" s="671"/>
      <c r="R220" s="671"/>
      <c r="S220" s="671"/>
      <c r="T220" s="671"/>
      <c r="U220" s="671"/>
      <c r="V220" s="671"/>
      <c r="W220" s="671"/>
      <c r="X220" s="671"/>
    </row>
    <row r="221" spans="8:24" x14ac:dyDescent="0.35">
      <c r="H221" s="671"/>
      <c r="I221" s="671"/>
      <c r="J221" s="671"/>
      <c r="K221" s="671"/>
      <c r="L221" s="671"/>
      <c r="M221" s="671"/>
      <c r="N221" s="671"/>
      <c r="O221" s="671"/>
      <c r="P221" s="671"/>
      <c r="Q221" s="671"/>
      <c r="R221" s="671"/>
      <c r="S221" s="671"/>
      <c r="T221" s="671"/>
      <c r="U221" s="671"/>
      <c r="V221" s="671"/>
      <c r="W221" s="671"/>
      <c r="X221" s="671"/>
    </row>
    <row r="222" spans="8:24" x14ac:dyDescent="0.35">
      <c r="H222" s="671"/>
      <c r="I222" s="671"/>
      <c r="J222" s="671"/>
      <c r="K222" s="671"/>
      <c r="L222" s="671"/>
      <c r="M222" s="671"/>
      <c r="N222" s="671"/>
      <c r="O222" s="671"/>
      <c r="P222" s="671"/>
      <c r="Q222" s="671"/>
      <c r="R222" s="671"/>
      <c r="S222" s="671"/>
      <c r="T222" s="671"/>
      <c r="U222" s="671"/>
      <c r="V222" s="671"/>
      <c r="W222" s="671"/>
      <c r="X222" s="671"/>
    </row>
    <row r="223" spans="8:24" x14ac:dyDescent="0.35">
      <c r="H223" s="671"/>
      <c r="I223" s="671"/>
      <c r="J223" s="671"/>
      <c r="K223" s="671"/>
      <c r="L223" s="671"/>
      <c r="M223" s="671"/>
      <c r="N223" s="671"/>
      <c r="O223" s="671"/>
      <c r="P223" s="671"/>
      <c r="Q223" s="671"/>
      <c r="R223" s="671"/>
      <c r="S223" s="671"/>
      <c r="T223" s="671"/>
      <c r="U223" s="671"/>
      <c r="V223" s="671"/>
      <c r="W223" s="671"/>
      <c r="X223" s="671"/>
    </row>
    <row r="224" spans="8:24" x14ac:dyDescent="0.35">
      <c r="H224" s="671"/>
      <c r="I224" s="671"/>
      <c r="J224" s="671"/>
      <c r="K224" s="671"/>
      <c r="L224" s="671"/>
      <c r="M224" s="671"/>
      <c r="N224" s="671"/>
      <c r="O224" s="671"/>
      <c r="P224" s="671"/>
      <c r="Q224" s="671"/>
      <c r="R224" s="671"/>
      <c r="S224" s="671"/>
      <c r="T224" s="671"/>
      <c r="U224" s="671"/>
      <c r="V224" s="671"/>
      <c r="W224" s="671"/>
      <c r="X224" s="671"/>
    </row>
    <row r="225" spans="8:24" x14ac:dyDescent="0.35">
      <c r="H225" s="671"/>
      <c r="I225" s="671"/>
      <c r="J225" s="671"/>
      <c r="K225" s="671"/>
      <c r="L225" s="671"/>
      <c r="M225" s="671"/>
      <c r="N225" s="671"/>
      <c r="O225" s="671"/>
      <c r="P225" s="671"/>
      <c r="Q225" s="671"/>
      <c r="R225" s="671"/>
      <c r="S225" s="671"/>
      <c r="T225" s="671"/>
      <c r="U225" s="671"/>
      <c r="V225" s="671"/>
      <c r="W225" s="671"/>
      <c r="X225" s="671"/>
    </row>
    <row r="226" spans="8:24" x14ac:dyDescent="0.35">
      <c r="H226" s="671"/>
      <c r="I226" s="671"/>
      <c r="J226" s="671"/>
      <c r="K226" s="671"/>
      <c r="L226" s="671"/>
      <c r="M226" s="671"/>
      <c r="N226" s="671"/>
      <c r="O226" s="671"/>
      <c r="P226" s="671"/>
      <c r="Q226" s="671"/>
      <c r="R226" s="671"/>
      <c r="S226" s="671"/>
      <c r="T226" s="671"/>
      <c r="U226" s="671"/>
      <c r="V226" s="671"/>
      <c r="W226" s="671"/>
      <c r="X226" s="671"/>
    </row>
    <row r="227" spans="8:24" x14ac:dyDescent="0.35">
      <c r="H227" s="671"/>
      <c r="I227" s="671"/>
      <c r="J227" s="671"/>
      <c r="K227" s="671"/>
      <c r="L227" s="671"/>
      <c r="M227" s="671"/>
      <c r="N227" s="671"/>
      <c r="O227" s="671"/>
      <c r="P227" s="671"/>
      <c r="Q227" s="671"/>
      <c r="R227" s="671"/>
      <c r="S227" s="671"/>
      <c r="T227" s="671"/>
      <c r="U227" s="671"/>
      <c r="V227" s="671"/>
      <c r="W227" s="671"/>
      <c r="X227" s="671"/>
    </row>
    <row r="228" spans="8:24" x14ac:dyDescent="0.35">
      <c r="H228" s="671"/>
      <c r="I228" s="671"/>
      <c r="J228" s="671"/>
      <c r="K228" s="671"/>
      <c r="L228" s="671"/>
      <c r="M228" s="671"/>
      <c r="N228" s="671"/>
      <c r="O228" s="671"/>
      <c r="P228" s="671"/>
      <c r="Q228" s="671"/>
      <c r="R228" s="671"/>
      <c r="S228" s="671"/>
      <c r="T228" s="671"/>
      <c r="U228" s="671"/>
      <c r="V228" s="671"/>
      <c r="W228" s="671"/>
      <c r="X228" s="671"/>
    </row>
    <row r="229" spans="8:24" x14ac:dyDescent="0.35">
      <c r="H229" s="671"/>
      <c r="I229" s="671"/>
      <c r="J229" s="671"/>
      <c r="K229" s="671"/>
      <c r="L229" s="671"/>
      <c r="M229" s="671"/>
      <c r="N229" s="671"/>
      <c r="O229" s="671"/>
      <c r="P229" s="671"/>
      <c r="Q229" s="671"/>
      <c r="R229" s="671"/>
      <c r="S229" s="671"/>
      <c r="T229" s="671"/>
      <c r="U229" s="671"/>
      <c r="V229" s="671"/>
      <c r="W229" s="671"/>
      <c r="X229" s="671"/>
    </row>
    <row r="230" spans="8:24" x14ac:dyDescent="0.35">
      <c r="H230" s="671"/>
      <c r="I230" s="671"/>
      <c r="J230" s="671"/>
      <c r="K230" s="671"/>
      <c r="L230" s="671"/>
      <c r="M230" s="671"/>
      <c r="N230" s="671"/>
      <c r="O230" s="671"/>
      <c r="P230" s="671"/>
      <c r="Q230" s="671"/>
      <c r="R230" s="671"/>
      <c r="S230" s="671"/>
      <c r="T230" s="671"/>
      <c r="U230" s="671"/>
      <c r="V230" s="671"/>
      <c r="W230" s="671"/>
      <c r="X230" s="671"/>
    </row>
    <row r="231" spans="8:24" x14ac:dyDescent="0.35">
      <c r="H231" s="671"/>
      <c r="I231" s="671"/>
      <c r="J231" s="671"/>
      <c r="K231" s="671"/>
      <c r="L231" s="671"/>
      <c r="M231" s="671"/>
      <c r="N231" s="671"/>
      <c r="O231" s="671"/>
      <c r="P231" s="671"/>
      <c r="Q231" s="671"/>
      <c r="R231" s="671"/>
      <c r="S231" s="671"/>
      <c r="T231" s="671"/>
      <c r="U231" s="671"/>
      <c r="V231" s="671"/>
      <c r="W231" s="671"/>
      <c r="X231" s="671"/>
    </row>
    <row r="232" spans="8:24" x14ac:dyDescent="0.35">
      <c r="H232" s="671"/>
      <c r="I232" s="671"/>
      <c r="J232" s="671"/>
      <c r="K232" s="671"/>
      <c r="L232" s="671"/>
      <c r="M232" s="671"/>
      <c r="N232" s="671"/>
      <c r="O232" s="671"/>
      <c r="P232" s="671"/>
      <c r="Q232" s="671"/>
      <c r="R232" s="671"/>
      <c r="S232" s="671"/>
      <c r="T232" s="671"/>
      <c r="U232" s="671"/>
      <c r="V232" s="671"/>
      <c r="W232" s="671"/>
      <c r="X232" s="671"/>
    </row>
    <row r="233" spans="8:24" x14ac:dyDescent="0.35">
      <c r="H233" s="671"/>
      <c r="I233" s="671"/>
      <c r="J233" s="671"/>
      <c r="K233" s="671"/>
      <c r="L233" s="671"/>
      <c r="M233" s="671"/>
      <c r="N233" s="671"/>
      <c r="O233" s="671"/>
      <c r="P233" s="671"/>
      <c r="Q233" s="671"/>
      <c r="R233" s="671"/>
      <c r="S233" s="671"/>
      <c r="T233" s="671"/>
      <c r="U233" s="671"/>
      <c r="V233" s="671"/>
      <c r="W233" s="671"/>
      <c r="X233" s="671"/>
    </row>
    <row r="234" spans="8:24" x14ac:dyDescent="0.35">
      <c r="H234" s="671"/>
      <c r="I234" s="671"/>
      <c r="J234" s="671"/>
      <c r="K234" s="671"/>
      <c r="L234" s="671"/>
      <c r="M234" s="671"/>
      <c r="N234" s="671"/>
      <c r="O234" s="671"/>
      <c r="P234" s="671"/>
      <c r="Q234" s="671"/>
      <c r="R234" s="671"/>
      <c r="S234" s="671"/>
      <c r="T234" s="671"/>
      <c r="U234" s="671"/>
      <c r="V234" s="671"/>
      <c r="W234" s="671"/>
      <c r="X234" s="671"/>
    </row>
    <row r="235" spans="8:24" x14ac:dyDescent="0.35">
      <c r="H235" s="671"/>
      <c r="I235" s="671"/>
      <c r="J235" s="671"/>
      <c r="K235" s="671"/>
      <c r="L235" s="671"/>
      <c r="M235" s="671"/>
      <c r="N235" s="671"/>
      <c r="O235" s="671"/>
      <c r="P235" s="671"/>
      <c r="Q235" s="671"/>
      <c r="R235" s="671"/>
      <c r="S235" s="671"/>
      <c r="T235" s="671"/>
      <c r="U235" s="671"/>
      <c r="V235" s="671"/>
      <c r="W235" s="671"/>
      <c r="X235" s="671"/>
    </row>
    <row r="236" spans="8:24" x14ac:dyDescent="0.35">
      <c r="H236" s="671"/>
      <c r="I236" s="671"/>
      <c r="J236" s="671"/>
      <c r="K236" s="671"/>
      <c r="L236" s="671"/>
      <c r="M236" s="671"/>
      <c r="N236" s="671"/>
      <c r="O236" s="671"/>
      <c r="P236" s="671"/>
      <c r="Q236" s="671"/>
      <c r="R236" s="671"/>
      <c r="S236" s="671"/>
      <c r="T236" s="671"/>
      <c r="U236" s="671"/>
      <c r="V236" s="671"/>
      <c r="W236" s="671"/>
      <c r="X236" s="671"/>
    </row>
    <row r="237" spans="8:24" x14ac:dyDescent="0.35">
      <c r="H237" s="671"/>
      <c r="I237" s="671"/>
      <c r="J237" s="671"/>
      <c r="K237" s="671"/>
      <c r="L237" s="671"/>
      <c r="M237" s="671"/>
      <c r="N237" s="671"/>
      <c r="O237" s="671"/>
      <c r="P237" s="671"/>
      <c r="Q237" s="671"/>
      <c r="R237" s="671"/>
      <c r="S237" s="671"/>
      <c r="T237" s="671"/>
      <c r="U237" s="671"/>
      <c r="V237" s="671"/>
      <c r="W237" s="671"/>
      <c r="X237" s="671"/>
    </row>
    <row r="238" spans="8:24" x14ac:dyDescent="0.35">
      <c r="H238" s="671"/>
      <c r="I238" s="671"/>
      <c r="J238" s="671"/>
      <c r="K238" s="671"/>
      <c r="L238" s="671"/>
      <c r="M238" s="671"/>
      <c r="N238" s="671"/>
      <c r="O238" s="671"/>
      <c r="P238" s="671"/>
      <c r="Q238" s="671"/>
      <c r="R238" s="671"/>
      <c r="S238" s="671"/>
      <c r="T238" s="671"/>
      <c r="U238" s="671"/>
      <c r="V238" s="671"/>
      <c r="W238" s="671"/>
      <c r="X238" s="671"/>
    </row>
    <row r="239" spans="8:24" x14ac:dyDescent="0.35">
      <c r="H239" s="671"/>
      <c r="I239" s="671"/>
      <c r="J239" s="671"/>
      <c r="K239" s="671"/>
      <c r="L239" s="671"/>
      <c r="M239" s="671"/>
      <c r="N239" s="671"/>
      <c r="O239" s="671"/>
      <c r="P239" s="671"/>
      <c r="Q239" s="671"/>
      <c r="R239" s="671"/>
      <c r="S239" s="671"/>
      <c r="T239" s="671"/>
      <c r="U239" s="671"/>
      <c r="V239" s="671"/>
      <c r="W239" s="671"/>
      <c r="X23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3:X239"/>
  <sheetViews>
    <sheetView topLeftCell="A5" workbookViewId="0">
      <selection activeCell="F30" sqref="F30"/>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row>
    <row r="8" spans="3:19" ht="12" customHeight="1" x14ac:dyDescent="0.35"/>
    <row r="9" spans="3:19" ht="15.65" hidden="1" customHeight="1" thickBot="1" x14ac:dyDescent="0.4">
      <c r="C9" s="723" t="s">
        <v>245</v>
      </c>
      <c r="D9" s="725" t="s">
        <v>246</v>
      </c>
      <c r="E9" s="726"/>
      <c r="F9" s="726"/>
      <c r="G9" s="726"/>
      <c r="H9" s="727"/>
      <c r="I9" s="728" t="s">
        <v>247</v>
      </c>
      <c r="K9" s="671"/>
      <c r="L9" s="671"/>
      <c r="M9" s="671"/>
      <c r="N9" s="671"/>
      <c r="O9" s="671"/>
    </row>
    <row r="10" spans="3:19" ht="15" hidden="1"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hidden="1" customHeight="1" x14ac:dyDescent="0.35">
      <c r="C11" s="724"/>
      <c r="D11" s="731" t="s">
        <v>253</v>
      </c>
      <c r="E11" s="732"/>
      <c r="F11" s="732"/>
      <c r="G11" s="732"/>
      <c r="H11" s="728"/>
      <c r="I11" s="730"/>
      <c r="K11" s="671"/>
      <c r="L11" s="671"/>
      <c r="M11" s="671"/>
      <c r="N11" s="671"/>
      <c r="O11" s="671"/>
      <c r="P11" s="671"/>
      <c r="R11">
        <v>30</v>
      </c>
      <c r="S11">
        <f>+D16</f>
        <v>3.0288E-4</v>
      </c>
    </row>
    <row r="12" spans="3:19" ht="21" hidden="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hidden="1"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hidden="1"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hidden="1"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hidden="1"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hidden="1"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f>IF(COTIZADOR!D38="HOMBRE",1,2)</f>
        <v>2</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f ca="1">COTIZADOR!D36</f>
        <v>37</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f>IF(COTIZADOR!D12&lt;250000,50000,500000)</f>
        <v>50000</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f ca="1">+IF(D21=1,IF(D24=K10,VLOOKUP(D22,'ANEXO No.1'!B11:G76,2),IF('Conyu B'!D24='Conyu B'!L10,VLOOKUP(D22,'ANEXO No.1'!B11:G76,3),IF('Conyu B'!D24='Conyu B'!M10,VLOOKUP(D22,'ANEXO No.1'!B11:G76,4),IF('Conyu B'!D24='Conyu B'!N10,VLOOKUP(D22,'ANEXO No.1'!B11:G76,5),IF('Conyu B'!D24='Conyu B'!O10,VLOOKUP(D22,'ANEXO No.1'!B11:G76,6))))))*D24,IF(D24=K10,VLOOKUP(D22,'ANEXO No.1'!B11:G76,2),IF('Conyu B'!D24='Conyu B'!L10,VLOOKUP(D22,'ANEXO No.1'!B11:G76,3),IF('Conyu B'!D24='Conyu B'!M10,VLOOKUP(D22,'ANEXO No.1'!B11:G76,4),IF('Conyu B'!D24='Conyu B'!N10,VLOOKUP(D22,'ANEXO No.1'!B11:G76,5),IF('Conyu B'!D24='Conyu B'!O10,VLOOKUP(D22,'ANEXO No.1'!B11:G76,6))))))*D24*1.15)</f>
        <v>164.61445000000006</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f ca="1">SUM(E26:E29)</f>
        <v>164.61445000000006</v>
      </c>
      <c r="F30" s="639">
        <f ca="1">E30/(1-0.4)</f>
        <v>274.35741666666678</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f ca="1">+F30</f>
        <v>274.35741666666678</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1" spans="2:24" x14ac:dyDescent="0.35">
      <c r="H61" s="671"/>
      <c r="I61" s="671"/>
      <c r="J61" s="671"/>
      <c r="K61" s="671"/>
      <c r="L61" s="671"/>
      <c r="M61" s="671"/>
      <c r="N61" s="671"/>
      <c r="O61" s="671"/>
      <c r="P61" s="671"/>
      <c r="Q61" s="671"/>
      <c r="R61" s="671"/>
      <c r="S61" s="671"/>
      <c r="T61" s="671"/>
      <c r="U61" s="671"/>
      <c r="V61" s="671"/>
      <c r="W61" s="671"/>
      <c r="X61"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row r="80" spans="8:24" x14ac:dyDescent="0.35">
      <c r="H80" s="671"/>
      <c r="I80" s="671"/>
      <c r="J80" s="671"/>
      <c r="K80" s="671"/>
      <c r="L80" s="671"/>
      <c r="M80" s="671"/>
      <c r="N80" s="671"/>
      <c r="O80" s="671"/>
      <c r="P80" s="671"/>
      <c r="Q80" s="671"/>
      <c r="R80" s="671"/>
      <c r="S80" s="671"/>
      <c r="T80" s="671"/>
      <c r="U80" s="671"/>
      <c r="V80" s="671"/>
      <c r="W80" s="671"/>
      <c r="X80" s="671"/>
    </row>
    <row r="81" spans="8:24" x14ac:dyDescent="0.35">
      <c r="H81" s="671"/>
      <c r="I81" s="671"/>
      <c r="J81" s="671"/>
      <c r="K81" s="671"/>
      <c r="L81" s="671"/>
      <c r="M81" s="671"/>
      <c r="N81" s="671"/>
      <c r="O81" s="671"/>
      <c r="P81" s="671"/>
      <c r="Q81" s="671"/>
      <c r="R81" s="671"/>
      <c r="S81" s="671"/>
      <c r="T81" s="671"/>
      <c r="U81" s="671"/>
      <c r="V81" s="671"/>
      <c r="W81" s="671"/>
      <c r="X81" s="671"/>
    </row>
    <row r="82" spans="8:24" x14ac:dyDescent="0.35">
      <c r="H82" s="671"/>
      <c r="I82" s="671"/>
      <c r="J82" s="671"/>
      <c r="K82" s="671"/>
      <c r="L82" s="671"/>
      <c r="M82" s="671"/>
      <c r="N82" s="671"/>
      <c r="O82" s="671"/>
      <c r="P82" s="671"/>
      <c r="Q82" s="671"/>
      <c r="R82" s="671"/>
      <c r="S82" s="671"/>
      <c r="T82" s="671"/>
      <c r="U82" s="671"/>
      <c r="V82" s="671"/>
      <c r="W82" s="671"/>
      <c r="X82" s="671"/>
    </row>
    <row r="83" spans="8:24" x14ac:dyDescent="0.35">
      <c r="H83" s="671"/>
      <c r="I83" s="671"/>
      <c r="J83" s="671"/>
      <c r="K83" s="671"/>
      <c r="L83" s="671"/>
      <c r="M83" s="671"/>
      <c r="N83" s="671"/>
      <c r="O83" s="671"/>
      <c r="P83" s="671"/>
      <c r="Q83" s="671"/>
      <c r="R83" s="671"/>
      <c r="S83" s="671"/>
      <c r="T83" s="671"/>
      <c r="U83" s="671"/>
      <c r="V83" s="671"/>
      <c r="W83" s="671"/>
      <c r="X83" s="671"/>
    </row>
    <row r="84" spans="8:24" x14ac:dyDescent="0.35">
      <c r="H84" s="671"/>
      <c r="I84" s="671"/>
      <c r="J84" s="671"/>
      <c r="K84" s="671"/>
      <c r="L84" s="671"/>
      <c r="M84" s="671"/>
      <c r="N84" s="671"/>
      <c r="O84" s="671"/>
      <c r="P84" s="671"/>
      <c r="Q84" s="671"/>
      <c r="R84" s="671"/>
      <c r="S84" s="671"/>
      <c r="T84" s="671"/>
      <c r="U84" s="671"/>
      <c r="V84" s="671"/>
      <c r="W84" s="671"/>
      <c r="X84" s="671"/>
    </row>
    <row r="85" spans="8:24" x14ac:dyDescent="0.35">
      <c r="H85" s="671"/>
      <c r="I85" s="671"/>
      <c r="J85" s="671"/>
      <c r="K85" s="671"/>
      <c r="L85" s="671"/>
      <c r="M85" s="671"/>
      <c r="N85" s="671"/>
      <c r="O85" s="671"/>
      <c r="P85" s="671"/>
      <c r="Q85" s="671"/>
      <c r="R85" s="671"/>
      <c r="S85" s="671"/>
      <c r="T85" s="671"/>
      <c r="U85" s="671"/>
      <c r="V85" s="671"/>
      <c r="W85" s="671"/>
      <c r="X85" s="671"/>
    </row>
    <row r="86" spans="8:24" x14ac:dyDescent="0.35">
      <c r="H86" s="671"/>
      <c r="I86" s="671"/>
      <c r="J86" s="671"/>
      <c r="K86" s="671"/>
      <c r="L86" s="671"/>
      <c r="M86" s="671"/>
      <c r="N86" s="671"/>
      <c r="O86" s="671"/>
      <c r="P86" s="671"/>
      <c r="Q86" s="671"/>
      <c r="R86" s="671"/>
      <c r="S86" s="671"/>
      <c r="T86" s="671"/>
      <c r="U86" s="671"/>
      <c r="V86" s="671"/>
      <c r="W86" s="671"/>
      <c r="X86" s="671"/>
    </row>
    <row r="87" spans="8:24" x14ac:dyDescent="0.35">
      <c r="H87" s="671"/>
      <c r="I87" s="671"/>
      <c r="J87" s="671"/>
      <c r="K87" s="671"/>
      <c r="L87" s="671"/>
      <c r="M87" s="671"/>
      <c r="N87" s="671"/>
      <c r="O87" s="671"/>
      <c r="P87" s="671"/>
      <c r="Q87" s="671"/>
      <c r="R87" s="671"/>
      <c r="S87" s="671"/>
      <c r="T87" s="671"/>
      <c r="U87" s="671"/>
      <c r="V87" s="671"/>
      <c r="W87" s="671"/>
      <c r="X87" s="671"/>
    </row>
    <row r="88" spans="8:24" x14ac:dyDescent="0.35">
      <c r="H88" s="671"/>
      <c r="I88" s="671"/>
      <c r="J88" s="671"/>
      <c r="K88" s="671"/>
      <c r="L88" s="671"/>
      <c r="M88" s="671"/>
      <c r="N88" s="671"/>
      <c r="O88" s="671"/>
      <c r="P88" s="671"/>
      <c r="Q88" s="671"/>
      <c r="R88" s="671"/>
      <c r="S88" s="671"/>
      <c r="T88" s="671"/>
      <c r="U88" s="671"/>
      <c r="V88" s="671"/>
      <c r="W88" s="671"/>
      <c r="X88" s="671"/>
    </row>
    <row r="89" spans="8:24" x14ac:dyDescent="0.35">
      <c r="H89" s="671"/>
      <c r="I89" s="671"/>
      <c r="J89" s="671"/>
      <c r="K89" s="671"/>
      <c r="L89" s="671"/>
      <c r="M89" s="671"/>
      <c r="N89" s="671"/>
      <c r="O89" s="671"/>
      <c r="P89" s="671"/>
      <c r="Q89" s="671"/>
      <c r="R89" s="671"/>
      <c r="S89" s="671"/>
      <c r="T89" s="671"/>
      <c r="U89" s="671"/>
      <c r="V89" s="671"/>
      <c r="W89" s="671"/>
      <c r="X89" s="671"/>
    </row>
    <row r="90" spans="8:24" x14ac:dyDescent="0.35">
      <c r="H90" s="671"/>
      <c r="I90" s="671"/>
      <c r="J90" s="671"/>
      <c r="K90" s="671"/>
      <c r="L90" s="671"/>
      <c r="M90" s="671"/>
      <c r="N90" s="671"/>
      <c r="O90" s="671"/>
      <c r="P90" s="671"/>
      <c r="Q90" s="671"/>
      <c r="R90" s="671"/>
      <c r="S90" s="671"/>
      <c r="T90" s="671"/>
      <c r="U90" s="671"/>
      <c r="V90" s="671"/>
      <c r="W90" s="671"/>
      <c r="X90" s="671"/>
    </row>
    <row r="91" spans="8:24" x14ac:dyDescent="0.35">
      <c r="H91" s="671"/>
      <c r="I91" s="671"/>
      <c r="J91" s="671"/>
      <c r="K91" s="671"/>
      <c r="L91" s="671"/>
      <c r="M91" s="671"/>
      <c r="N91" s="671"/>
      <c r="O91" s="671"/>
      <c r="P91" s="671"/>
      <c r="Q91" s="671"/>
      <c r="R91" s="671"/>
      <c r="S91" s="671"/>
      <c r="T91" s="671"/>
      <c r="U91" s="671"/>
      <c r="V91" s="671"/>
      <c r="W91" s="671"/>
      <c r="X91" s="671"/>
    </row>
    <row r="92" spans="8:24" x14ac:dyDescent="0.35">
      <c r="H92" s="671"/>
      <c r="I92" s="671"/>
      <c r="J92" s="671"/>
      <c r="K92" s="671"/>
      <c r="L92" s="671"/>
      <c r="M92" s="671"/>
      <c r="N92" s="671"/>
      <c r="O92" s="671"/>
      <c r="P92" s="671"/>
      <c r="Q92" s="671"/>
      <c r="R92" s="671"/>
      <c r="S92" s="671"/>
      <c r="T92" s="671"/>
      <c r="U92" s="671"/>
      <c r="V92" s="671"/>
      <c r="W92" s="671"/>
      <c r="X92" s="671"/>
    </row>
    <row r="93" spans="8:24" x14ac:dyDescent="0.35">
      <c r="H93" s="671"/>
      <c r="I93" s="671"/>
      <c r="J93" s="671"/>
      <c r="K93" s="671"/>
      <c r="L93" s="671"/>
      <c r="M93" s="671"/>
      <c r="N93" s="671"/>
      <c r="O93" s="671"/>
      <c r="P93" s="671"/>
      <c r="Q93" s="671"/>
      <c r="R93" s="671"/>
      <c r="S93" s="671"/>
      <c r="T93" s="671"/>
      <c r="U93" s="671"/>
      <c r="V93" s="671"/>
      <c r="W93" s="671"/>
      <c r="X93" s="671"/>
    </row>
    <row r="94" spans="8:24" x14ac:dyDescent="0.35">
      <c r="H94" s="671"/>
      <c r="I94" s="671"/>
      <c r="J94" s="671"/>
      <c r="K94" s="671"/>
      <c r="L94" s="671"/>
      <c r="M94" s="671"/>
      <c r="N94" s="671"/>
      <c r="O94" s="671"/>
      <c r="P94" s="671"/>
      <c r="Q94" s="671"/>
      <c r="R94" s="671"/>
      <c r="S94" s="671"/>
      <c r="T94" s="671"/>
      <c r="U94" s="671"/>
      <c r="V94" s="671"/>
      <c r="W94" s="671"/>
      <c r="X94" s="671"/>
    </row>
    <row r="95" spans="8:24" x14ac:dyDescent="0.35">
      <c r="H95" s="671"/>
      <c r="I95" s="671"/>
      <c r="J95" s="671"/>
      <c r="K95" s="671"/>
      <c r="L95" s="671"/>
      <c r="M95" s="671"/>
      <c r="N95" s="671"/>
      <c r="O95" s="671"/>
      <c r="P95" s="671"/>
      <c r="Q95" s="671"/>
      <c r="R95" s="671"/>
      <c r="S95" s="671"/>
      <c r="T95" s="671"/>
      <c r="U95" s="671"/>
      <c r="V95" s="671"/>
      <c r="W95" s="671"/>
      <c r="X95" s="671"/>
    </row>
    <row r="96" spans="8:24" x14ac:dyDescent="0.35">
      <c r="H96" s="671"/>
      <c r="I96" s="671"/>
      <c r="J96" s="671"/>
      <c r="K96" s="671"/>
      <c r="L96" s="671"/>
      <c r="M96" s="671"/>
      <c r="N96" s="671"/>
      <c r="O96" s="671"/>
      <c r="P96" s="671"/>
      <c r="Q96" s="671"/>
      <c r="R96" s="671"/>
      <c r="S96" s="671"/>
      <c r="T96" s="671"/>
      <c r="U96" s="671"/>
      <c r="V96" s="671"/>
      <c r="W96" s="671"/>
      <c r="X96" s="671"/>
    </row>
    <row r="97" spans="8:24" x14ac:dyDescent="0.35">
      <c r="H97" s="671"/>
      <c r="I97" s="671"/>
      <c r="J97" s="671"/>
      <c r="K97" s="671"/>
      <c r="L97" s="671"/>
      <c r="M97" s="671"/>
      <c r="N97" s="671"/>
      <c r="O97" s="671"/>
      <c r="P97" s="671"/>
      <c r="Q97" s="671"/>
      <c r="R97" s="671"/>
      <c r="S97" s="671"/>
      <c r="T97" s="671"/>
      <c r="U97" s="671"/>
      <c r="V97" s="671"/>
      <c r="W97" s="671"/>
      <c r="X97" s="671"/>
    </row>
    <row r="98" spans="8:24" x14ac:dyDescent="0.35">
      <c r="H98" s="671"/>
      <c r="I98" s="671"/>
      <c r="J98" s="671"/>
      <c r="K98" s="671"/>
      <c r="L98" s="671"/>
      <c r="M98" s="671"/>
      <c r="N98" s="671"/>
      <c r="O98" s="671"/>
      <c r="P98" s="671"/>
      <c r="Q98" s="671"/>
      <c r="R98" s="671"/>
      <c r="S98" s="671"/>
      <c r="T98" s="671"/>
      <c r="U98" s="671"/>
      <c r="V98" s="671"/>
      <c r="W98" s="671"/>
      <c r="X98" s="671"/>
    </row>
    <row r="99" spans="8:24" x14ac:dyDescent="0.35">
      <c r="H99" s="671"/>
      <c r="I99" s="671"/>
      <c r="J99" s="671"/>
      <c r="K99" s="671"/>
      <c r="L99" s="671"/>
      <c r="M99" s="671"/>
      <c r="N99" s="671"/>
      <c r="O99" s="671"/>
      <c r="P99" s="671"/>
      <c r="Q99" s="671"/>
      <c r="R99" s="671"/>
      <c r="S99" s="671"/>
      <c r="T99" s="671"/>
      <c r="U99" s="671"/>
      <c r="V99" s="671"/>
      <c r="W99" s="671"/>
      <c r="X99" s="671"/>
    </row>
    <row r="100" spans="8:24" x14ac:dyDescent="0.35">
      <c r="H100" s="671"/>
      <c r="I100" s="671"/>
      <c r="J100" s="671"/>
      <c r="K100" s="671"/>
      <c r="L100" s="671"/>
      <c r="M100" s="671"/>
      <c r="N100" s="671"/>
      <c r="O100" s="671"/>
      <c r="P100" s="671"/>
      <c r="Q100" s="671"/>
      <c r="R100" s="671"/>
      <c r="S100" s="671"/>
      <c r="T100" s="671"/>
      <c r="U100" s="671"/>
      <c r="V100" s="671"/>
      <c r="W100" s="671"/>
      <c r="X100" s="671"/>
    </row>
    <row r="101" spans="8:24" x14ac:dyDescent="0.35">
      <c r="H101" s="671"/>
      <c r="I101" s="671"/>
      <c r="J101" s="671"/>
      <c r="K101" s="671"/>
      <c r="L101" s="671"/>
      <c r="M101" s="671"/>
      <c r="N101" s="671"/>
      <c r="O101" s="671"/>
      <c r="P101" s="671"/>
      <c r="Q101" s="671"/>
      <c r="R101" s="671"/>
      <c r="S101" s="671"/>
      <c r="T101" s="671"/>
      <c r="U101" s="671"/>
      <c r="V101" s="671"/>
      <c r="W101" s="671"/>
      <c r="X101" s="671"/>
    </row>
    <row r="102" spans="8:24" x14ac:dyDescent="0.35">
      <c r="H102" s="671"/>
      <c r="I102" s="671"/>
      <c r="J102" s="671"/>
      <c r="K102" s="671"/>
      <c r="L102" s="671"/>
      <c r="M102" s="671"/>
      <c r="N102" s="671"/>
      <c r="O102" s="671"/>
      <c r="P102" s="671"/>
      <c r="Q102" s="671"/>
      <c r="R102" s="671"/>
      <c r="S102" s="671"/>
      <c r="T102" s="671"/>
      <c r="U102" s="671"/>
      <c r="V102" s="671"/>
      <c r="W102" s="671"/>
      <c r="X102" s="671"/>
    </row>
    <row r="103" spans="8:24" x14ac:dyDescent="0.35">
      <c r="H103" s="671"/>
      <c r="I103" s="671"/>
      <c r="J103" s="671"/>
      <c r="K103" s="671"/>
      <c r="L103" s="671"/>
      <c r="M103" s="671"/>
      <c r="N103" s="671"/>
      <c r="O103" s="671"/>
      <c r="P103" s="671"/>
      <c r="Q103" s="671"/>
      <c r="R103" s="671"/>
      <c r="S103" s="671"/>
      <c r="T103" s="671"/>
      <c r="U103" s="671"/>
      <c r="V103" s="671"/>
      <c r="W103" s="671"/>
      <c r="X103" s="671"/>
    </row>
    <row r="104" spans="8:24" x14ac:dyDescent="0.35">
      <c r="H104" s="671"/>
      <c r="I104" s="671"/>
      <c r="J104" s="671"/>
      <c r="K104" s="671"/>
      <c r="L104" s="671"/>
      <c r="M104" s="671"/>
      <c r="N104" s="671"/>
      <c r="O104" s="671"/>
      <c r="P104" s="671"/>
      <c r="Q104" s="671"/>
      <c r="R104" s="671"/>
      <c r="S104" s="671"/>
      <c r="T104" s="671"/>
      <c r="U104" s="671"/>
      <c r="V104" s="671"/>
      <c r="W104" s="671"/>
      <c r="X104" s="671"/>
    </row>
    <row r="105" spans="8:24" x14ac:dyDescent="0.35">
      <c r="H105" s="671"/>
      <c r="I105" s="671"/>
      <c r="J105" s="671"/>
      <c r="K105" s="671"/>
      <c r="L105" s="671"/>
      <c r="M105" s="671"/>
      <c r="N105" s="671"/>
      <c r="O105" s="671"/>
      <c r="P105" s="671"/>
      <c r="Q105" s="671"/>
      <c r="R105" s="671"/>
      <c r="S105" s="671"/>
      <c r="T105" s="671"/>
      <c r="U105" s="671"/>
      <c r="V105" s="671"/>
      <c r="W105" s="671"/>
      <c r="X105" s="671"/>
    </row>
    <row r="106" spans="8:24" x14ac:dyDescent="0.35">
      <c r="H106" s="671"/>
      <c r="I106" s="671"/>
      <c r="J106" s="671"/>
      <c r="K106" s="671"/>
      <c r="L106" s="671"/>
      <c r="M106" s="671"/>
      <c r="N106" s="671"/>
      <c r="O106" s="671"/>
      <c r="P106" s="671"/>
      <c r="Q106" s="671"/>
      <c r="R106" s="671"/>
      <c r="S106" s="671"/>
      <c r="T106" s="671"/>
      <c r="U106" s="671"/>
      <c r="V106" s="671"/>
      <c r="W106" s="671"/>
      <c r="X106" s="671"/>
    </row>
    <row r="107" spans="8:24" x14ac:dyDescent="0.35">
      <c r="H107" s="671"/>
      <c r="I107" s="671"/>
      <c r="J107" s="671"/>
      <c r="K107" s="671"/>
      <c r="L107" s="671"/>
      <c r="M107" s="671"/>
      <c r="N107" s="671"/>
      <c r="O107" s="671"/>
      <c r="P107" s="671"/>
      <c r="Q107" s="671"/>
      <c r="R107" s="671"/>
      <c r="S107" s="671"/>
      <c r="T107" s="671"/>
      <c r="U107" s="671"/>
      <c r="V107" s="671"/>
      <c r="W107" s="671"/>
      <c r="X107" s="671"/>
    </row>
    <row r="108" spans="8:24" x14ac:dyDescent="0.35">
      <c r="H108" s="671"/>
      <c r="I108" s="671"/>
      <c r="J108" s="671"/>
      <c r="K108" s="671"/>
      <c r="L108" s="671"/>
      <c r="M108" s="671"/>
      <c r="N108" s="671"/>
      <c r="O108" s="671"/>
      <c r="P108" s="671"/>
      <c r="Q108" s="671"/>
      <c r="R108" s="671"/>
      <c r="S108" s="671"/>
      <c r="T108" s="671"/>
      <c r="U108" s="671"/>
      <c r="V108" s="671"/>
      <c r="W108" s="671"/>
      <c r="X108" s="671"/>
    </row>
    <row r="109" spans="8:24" x14ac:dyDescent="0.35">
      <c r="H109" s="671"/>
      <c r="I109" s="671"/>
      <c r="J109" s="671"/>
      <c r="K109" s="671"/>
      <c r="L109" s="671"/>
      <c r="M109" s="671"/>
      <c r="N109" s="671"/>
      <c r="O109" s="671"/>
      <c r="P109" s="671"/>
      <c r="Q109" s="671"/>
      <c r="R109" s="671"/>
      <c r="S109" s="671"/>
      <c r="T109" s="671"/>
      <c r="U109" s="671"/>
      <c r="V109" s="671"/>
      <c r="W109" s="671"/>
      <c r="X109" s="671"/>
    </row>
    <row r="110" spans="8:24" x14ac:dyDescent="0.35">
      <c r="H110" s="671"/>
      <c r="I110" s="671"/>
      <c r="J110" s="671"/>
      <c r="K110" s="671"/>
      <c r="L110" s="671"/>
      <c r="M110" s="671"/>
      <c r="N110" s="671"/>
      <c r="O110" s="671"/>
      <c r="P110" s="671"/>
      <c r="Q110" s="671"/>
      <c r="R110" s="671"/>
      <c r="S110" s="671"/>
      <c r="T110" s="671"/>
      <c r="U110" s="671"/>
      <c r="V110" s="671"/>
      <c r="W110" s="671"/>
      <c r="X110" s="671"/>
    </row>
    <row r="111" spans="8:24" x14ac:dyDescent="0.35">
      <c r="H111" s="671"/>
      <c r="I111" s="671"/>
      <c r="J111" s="671"/>
      <c r="K111" s="671"/>
      <c r="L111" s="671"/>
      <c r="M111" s="671"/>
      <c r="N111" s="671"/>
      <c r="O111" s="671"/>
      <c r="P111" s="671"/>
      <c r="Q111" s="671"/>
      <c r="R111" s="671"/>
      <c r="S111" s="671"/>
      <c r="T111" s="671"/>
      <c r="U111" s="671"/>
      <c r="V111" s="671"/>
      <c r="W111" s="671"/>
      <c r="X111" s="671"/>
    </row>
    <row r="112" spans="8:24" x14ac:dyDescent="0.35">
      <c r="H112" s="671"/>
      <c r="I112" s="671"/>
      <c r="J112" s="671"/>
      <c r="K112" s="671"/>
      <c r="L112" s="671"/>
      <c r="M112" s="671"/>
      <c r="N112" s="671"/>
      <c r="O112" s="671"/>
      <c r="P112" s="671"/>
      <c r="Q112" s="671"/>
      <c r="R112" s="671"/>
      <c r="S112" s="671"/>
      <c r="T112" s="671"/>
      <c r="U112" s="671"/>
      <c r="V112" s="671"/>
      <c r="W112" s="671"/>
      <c r="X112" s="671"/>
    </row>
    <row r="113" spans="8:24" x14ac:dyDescent="0.35">
      <c r="H113" s="671"/>
      <c r="I113" s="671"/>
      <c r="J113" s="671"/>
      <c r="K113" s="671"/>
      <c r="L113" s="671"/>
      <c r="M113" s="671"/>
      <c r="N113" s="671"/>
      <c r="O113" s="671"/>
      <c r="P113" s="671"/>
      <c r="Q113" s="671"/>
      <c r="R113" s="671"/>
      <c r="S113" s="671"/>
      <c r="T113" s="671"/>
      <c r="U113" s="671"/>
      <c r="V113" s="671"/>
      <c r="W113" s="671"/>
      <c r="X113" s="671"/>
    </row>
    <row r="114" spans="8:24" x14ac:dyDescent="0.35">
      <c r="H114" s="671"/>
      <c r="I114" s="671"/>
      <c r="J114" s="671"/>
      <c r="K114" s="671"/>
      <c r="L114" s="671"/>
      <c r="M114" s="671"/>
      <c r="N114" s="671"/>
      <c r="O114" s="671"/>
      <c r="P114" s="671"/>
      <c r="Q114" s="671"/>
      <c r="R114" s="671"/>
      <c r="S114" s="671"/>
      <c r="T114" s="671"/>
      <c r="U114" s="671"/>
      <c r="V114" s="671"/>
      <c r="W114" s="671"/>
      <c r="X114" s="671"/>
    </row>
    <row r="115" spans="8:24" x14ac:dyDescent="0.35">
      <c r="H115" s="671"/>
      <c r="I115" s="671"/>
      <c r="J115" s="671"/>
      <c r="K115" s="671"/>
      <c r="L115" s="671"/>
      <c r="M115" s="671"/>
      <c r="N115" s="671"/>
      <c r="O115" s="671"/>
      <c r="P115" s="671"/>
      <c r="Q115" s="671"/>
      <c r="R115" s="671"/>
      <c r="S115" s="671"/>
      <c r="T115" s="671"/>
      <c r="U115" s="671"/>
      <c r="V115" s="671"/>
      <c r="W115" s="671"/>
      <c r="X115" s="671"/>
    </row>
    <row r="116" spans="8:24" x14ac:dyDescent="0.35">
      <c r="H116" s="671"/>
      <c r="I116" s="671"/>
      <c r="J116" s="671"/>
      <c r="K116" s="671"/>
      <c r="L116" s="671"/>
      <c r="M116" s="671"/>
      <c r="N116" s="671"/>
      <c r="O116" s="671"/>
      <c r="P116" s="671"/>
      <c r="Q116" s="671"/>
      <c r="R116" s="671"/>
      <c r="S116" s="671"/>
      <c r="T116" s="671"/>
      <c r="U116" s="671"/>
      <c r="V116" s="671"/>
      <c r="W116" s="671"/>
      <c r="X116" s="671"/>
    </row>
    <row r="117" spans="8:24" x14ac:dyDescent="0.35">
      <c r="H117" s="671"/>
      <c r="I117" s="671"/>
      <c r="J117" s="671"/>
      <c r="K117" s="671"/>
      <c r="L117" s="671"/>
      <c r="M117" s="671"/>
      <c r="N117" s="671"/>
      <c r="O117" s="671"/>
      <c r="P117" s="671"/>
      <c r="Q117" s="671"/>
      <c r="R117" s="671"/>
      <c r="S117" s="671"/>
      <c r="T117" s="671"/>
      <c r="U117" s="671"/>
      <c r="V117" s="671"/>
      <c r="W117" s="671"/>
      <c r="X117" s="671"/>
    </row>
    <row r="118" spans="8:24" x14ac:dyDescent="0.35">
      <c r="H118" s="671"/>
      <c r="I118" s="671"/>
      <c r="J118" s="671"/>
      <c r="K118" s="671"/>
      <c r="L118" s="671"/>
      <c r="M118" s="671"/>
      <c r="N118" s="671"/>
      <c r="O118" s="671"/>
      <c r="P118" s="671"/>
      <c r="Q118" s="671"/>
      <c r="R118" s="671"/>
      <c r="S118" s="671"/>
      <c r="T118" s="671"/>
      <c r="U118" s="671"/>
      <c r="V118" s="671"/>
      <c r="W118" s="671"/>
      <c r="X118" s="671"/>
    </row>
    <row r="119" spans="8:24" x14ac:dyDescent="0.35">
      <c r="H119" s="671"/>
      <c r="I119" s="671"/>
      <c r="J119" s="671"/>
      <c r="K119" s="671"/>
      <c r="L119" s="671"/>
      <c r="M119" s="671"/>
      <c r="N119" s="671"/>
      <c r="O119" s="671"/>
      <c r="P119" s="671"/>
      <c r="Q119" s="671"/>
      <c r="R119" s="671"/>
      <c r="S119" s="671"/>
      <c r="T119" s="671"/>
      <c r="U119" s="671"/>
      <c r="V119" s="671"/>
      <c r="W119" s="671"/>
      <c r="X119" s="671"/>
    </row>
    <row r="120" spans="8:24" x14ac:dyDescent="0.35">
      <c r="H120" s="671"/>
      <c r="I120" s="671"/>
      <c r="J120" s="671"/>
      <c r="K120" s="671"/>
      <c r="L120" s="671"/>
      <c r="M120" s="671"/>
      <c r="N120" s="671"/>
      <c r="O120" s="671"/>
      <c r="P120" s="671"/>
      <c r="Q120" s="671"/>
      <c r="R120" s="671"/>
      <c r="S120" s="671"/>
      <c r="T120" s="671"/>
      <c r="U120" s="671"/>
      <c r="V120" s="671"/>
      <c r="W120" s="671"/>
      <c r="X120" s="671"/>
    </row>
    <row r="121" spans="8:24" x14ac:dyDescent="0.35">
      <c r="H121" s="671"/>
      <c r="I121" s="671"/>
      <c r="J121" s="671"/>
      <c r="K121" s="671"/>
      <c r="L121" s="671"/>
      <c r="M121" s="671"/>
      <c r="N121" s="671"/>
      <c r="O121" s="671"/>
      <c r="P121" s="671"/>
      <c r="Q121" s="671"/>
      <c r="R121" s="671"/>
      <c r="S121" s="671"/>
      <c r="T121" s="671"/>
      <c r="U121" s="671"/>
      <c r="V121" s="671"/>
      <c r="W121" s="671"/>
      <c r="X121" s="671"/>
    </row>
    <row r="122" spans="8:24" x14ac:dyDescent="0.35">
      <c r="H122" s="671"/>
      <c r="I122" s="671"/>
      <c r="J122" s="671"/>
      <c r="K122" s="671"/>
      <c r="L122" s="671"/>
      <c r="M122" s="671"/>
      <c r="N122" s="671"/>
      <c r="O122" s="671"/>
      <c r="P122" s="671"/>
      <c r="Q122" s="671"/>
      <c r="R122" s="671"/>
      <c r="S122" s="671"/>
      <c r="T122" s="671"/>
      <c r="U122" s="671"/>
      <c r="V122" s="671"/>
      <c r="W122" s="671"/>
      <c r="X122" s="671"/>
    </row>
    <row r="123" spans="8:24" x14ac:dyDescent="0.35">
      <c r="H123" s="671"/>
      <c r="I123" s="671"/>
      <c r="J123" s="671"/>
      <c r="K123" s="671"/>
      <c r="L123" s="671"/>
      <c r="M123" s="671"/>
      <c r="N123" s="671"/>
      <c r="O123" s="671"/>
      <c r="P123" s="671"/>
      <c r="Q123" s="671"/>
      <c r="R123" s="671"/>
      <c r="S123" s="671"/>
      <c r="T123" s="671"/>
      <c r="U123" s="671"/>
      <c r="V123" s="671"/>
      <c r="W123" s="671"/>
      <c r="X123" s="671"/>
    </row>
    <row r="124" spans="8:24" x14ac:dyDescent="0.35">
      <c r="H124" s="671"/>
      <c r="I124" s="671"/>
      <c r="J124" s="671"/>
      <c r="K124" s="671"/>
      <c r="L124" s="671"/>
      <c r="M124" s="671"/>
      <c r="N124" s="671"/>
      <c r="O124" s="671"/>
      <c r="P124" s="671"/>
      <c r="Q124" s="671"/>
      <c r="R124" s="671"/>
      <c r="S124" s="671"/>
      <c r="T124" s="671"/>
      <c r="U124" s="671"/>
      <c r="V124" s="671"/>
      <c r="W124" s="671"/>
      <c r="X124" s="671"/>
    </row>
    <row r="125" spans="8:24" x14ac:dyDescent="0.35">
      <c r="H125" s="671"/>
      <c r="I125" s="671"/>
      <c r="J125" s="671"/>
      <c r="K125" s="671"/>
      <c r="L125" s="671"/>
      <c r="M125" s="671"/>
      <c r="N125" s="671"/>
      <c r="O125" s="671"/>
      <c r="P125" s="671"/>
      <c r="Q125" s="671"/>
      <c r="R125" s="671"/>
      <c r="S125" s="671"/>
      <c r="T125" s="671"/>
      <c r="U125" s="671"/>
      <c r="V125" s="671"/>
      <c r="W125" s="671"/>
      <c r="X125" s="671"/>
    </row>
    <row r="126" spans="8:24" x14ac:dyDescent="0.35">
      <c r="H126" s="671"/>
      <c r="I126" s="671"/>
      <c r="J126" s="671"/>
      <c r="K126" s="671"/>
      <c r="L126" s="671"/>
      <c r="M126" s="671"/>
      <c r="N126" s="671"/>
      <c r="O126" s="671"/>
      <c r="P126" s="671"/>
      <c r="Q126" s="671"/>
      <c r="R126" s="671"/>
      <c r="S126" s="671"/>
      <c r="T126" s="671"/>
      <c r="U126" s="671"/>
      <c r="V126" s="671"/>
      <c r="W126" s="671"/>
      <c r="X126" s="671"/>
    </row>
    <row r="127" spans="8:24" x14ac:dyDescent="0.35">
      <c r="H127" s="671"/>
      <c r="I127" s="671"/>
      <c r="J127" s="671"/>
      <c r="K127" s="671"/>
      <c r="L127" s="671"/>
      <c r="M127" s="671"/>
      <c r="N127" s="671"/>
      <c r="O127" s="671"/>
      <c r="P127" s="671"/>
      <c r="Q127" s="671"/>
      <c r="R127" s="671"/>
      <c r="S127" s="671"/>
      <c r="T127" s="671"/>
      <c r="U127" s="671"/>
      <c r="V127" s="671"/>
      <c r="W127" s="671"/>
      <c r="X127" s="671"/>
    </row>
    <row r="128" spans="8:24" x14ac:dyDescent="0.35">
      <c r="H128" s="671"/>
      <c r="I128" s="671"/>
      <c r="J128" s="671"/>
      <c r="K128" s="671"/>
      <c r="L128" s="671"/>
      <c r="M128" s="671"/>
      <c r="N128" s="671"/>
      <c r="O128" s="671"/>
      <c r="P128" s="671"/>
      <c r="Q128" s="671"/>
      <c r="R128" s="671"/>
      <c r="S128" s="671"/>
      <c r="T128" s="671"/>
      <c r="U128" s="671"/>
      <c r="V128" s="671"/>
      <c r="W128" s="671"/>
      <c r="X128" s="671"/>
    </row>
    <row r="129" spans="8:24" x14ac:dyDescent="0.35">
      <c r="H129" s="671"/>
      <c r="I129" s="671"/>
      <c r="J129" s="671"/>
      <c r="K129" s="671"/>
      <c r="L129" s="671"/>
      <c r="M129" s="671"/>
      <c r="N129" s="671"/>
      <c r="O129" s="671"/>
      <c r="P129" s="671"/>
      <c r="Q129" s="671"/>
      <c r="R129" s="671"/>
      <c r="S129" s="671"/>
      <c r="T129" s="671"/>
      <c r="U129" s="671"/>
      <c r="V129" s="671"/>
      <c r="W129" s="671"/>
      <c r="X129" s="671"/>
    </row>
    <row r="130" spans="8:24" x14ac:dyDescent="0.35">
      <c r="H130" s="671"/>
      <c r="I130" s="671"/>
      <c r="J130" s="671"/>
      <c r="K130" s="671"/>
      <c r="L130" s="671"/>
      <c r="M130" s="671"/>
      <c r="N130" s="671"/>
      <c r="O130" s="671"/>
      <c r="P130" s="671"/>
      <c r="Q130" s="671"/>
      <c r="R130" s="671"/>
      <c r="S130" s="671"/>
      <c r="T130" s="671"/>
      <c r="U130" s="671"/>
      <c r="V130" s="671"/>
      <c r="W130" s="671"/>
      <c r="X130" s="671"/>
    </row>
    <row r="131" spans="8:24" x14ac:dyDescent="0.35">
      <c r="H131" s="671"/>
      <c r="I131" s="671"/>
      <c r="J131" s="671"/>
      <c r="K131" s="671"/>
      <c r="L131" s="671"/>
      <c r="M131" s="671"/>
      <c r="N131" s="671"/>
      <c r="O131" s="671"/>
      <c r="P131" s="671"/>
      <c r="Q131" s="671"/>
      <c r="R131" s="671"/>
      <c r="S131" s="671"/>
      <c r="T131" s="671"/>
      <c r="U131" s="671"/>
      <c r="V131" s="671"/>
      <c r="W131" s="671"/>
      <c r="X131" s="671"/>
    </row>
    <row r="132" spans="8:24" x14ac:dyDescent="0.35">
      <c r="H132" s="671"/>
      <c r="I132" s="671"/>
      <c r="J132" s="671"/>
      <c r="K132" s="671"/>
      <c r="L132" s="671"/>
      <c r="M132" s="671"/>
      <c r="N132" s="671"/>
      <c r="O132" s="671"/>
      <c r="P132" s="671"/>
      <c r="Q132" s="671"/>
      <c r="R132" s="671"/>
      <c r="S132" s="671"/>
      <c r="T132" s="671"/>
      <c r="U132" s="671"/>
      <c r="V132" s="671"/>
      <c r="W132" s="671"/>
      <c r="X132" s="671"/>
    </row>
    <row r="133" spans="8:24" x14ac:dyDescent="0.35">
      <c r="H133" s="671"/>
      <c r="I133" s="671"/>
      <c r="J133" s="671"/>
      <c r="K133" s="671"/>
      <c r="L133" s="671"/>
      <c r="M133" s="671"/>
      <c r="N133" s="671"/>
      <c r="O133" s="671"/>
      <c r="P133" s="671"/>
      <c r="Q133" s="671"/>
      <c r="R133" s="671"/>
      <c r="S133" s="671"/>
      <c r="T133" s="671"/>
      <c r="U133" s="671"/>
      <c r="V133" s="671"/>
      <c r="W133" s="671"/>
      <c r="X133" s="671"/>
    </row>
    <row r="134" spans="8:24" x14ac:dyDescent="0.35">
      <c r="H134" s="671"/>
      <c r="I134" s="671"/>
      <c r="J134" s="671"/>
      <c r="K134" s="671"/>
      <c r="L134" s="671"/>
      <c r="M134" s="671"/>
      <c r="N134" s="671"/>
      <c r="O134" s="671"/>
      <c r="P134" s="671"/>
      <c r="Q134" s="671"/>
      <c r="R134" s="671"/>
      <c r="S134" s="671"/>
      <c r="T134" s="671"/>
      <c r="U134" s="671"/>
      <c r="V134" s="671"/>
      <c r="W134" s="671"/>
      <c r="X134" s="671"/>
    </row>
    <row r="135" spans="8:24" x14ac:dyDescent="0.35">
      <c r="H135" s="671"/>
      <c r="I135" s="671"/>
      <c r="J135" s="671"/>
      <c r="K135" s="671"/>
      <c r="L135" s="671"/>
      <c r="M135" s="671"/>
      <c r="N135" s="671"/>
      <c r="O135" s="671"/>
      <c r="P135" s="671"/>
      <c r="Q135" s="671"/>
      <c r="R135" s="671"/>
      <c r="S135" s="671"/>
      <c r="T135" s="671"/>
      <c r="U135" s="671"/>
      <c r="V135" s="671"/>
      <c r="W135" s="671"/>
      <c r="X135" s="671"/>
    </row>
    <row r="136" spans="8:24" x14ac:dyDescent="0.35">
      <c r="H136" s="671"/>
      <c r="I136" s="671"/>
      <c r="J136" s="671"/>
      <c r="K136" s="671"/>
      <c r="L136" s="671"/>
      <c r="M136" s="671"/>
      <c r="N136" s="671"/>
      <c r="O136" s="671"/>
      <c r="P136" s="671"/>
      <c r="Q136" s="671"/>
      <c r="R136" s="671"/>
      <c r="S136" s="671"/>
      <c r="T136" s="671"/>
      <c r="U136" s="671"/>
      <c r="V136" s="671"/>
      <c r="W136" s="671"/>
      <c r="X136" s="671"/>
    </row>
    <row r="137" spans="8:24" x14ac:dyDescent="0.35">
      <c r="H137" s="671"/>
      <c r="I137" s="671"/>
      <c r="J137" s="671"/>
      <c r="K137" s="671"/>
      <c r="L137" s="671"/>
      <c r="M137" s="671"/>
      <c r="N137" s="671"/>
      <c r="O137" s="671"/>
      <c r="P137" s="671"/>
      <c r="Q137" s="671"/>
      <c r="R137" s="671"/>
      <c r="S137" s="671"/>
      <c r="T137" s="671"/>
      <c r="U137" s="671"/>
      <c r="V137" s="671"/>
      <c r="W137" s="671"/>
      <c r="X137" s="671"/>
    </row>
    <row r="138" spans="8:24" x14ac:dyDescent="0.35">
      <c r="H138" s="671"/>
      <c r="I138" s="671"/>
      <c r="J138" s="671"/>
      <c r="K138" s="671"/>
      <c r="L138" s="671"/>
      <c r="M138" s="671"/>
      <c r="N138" s="671"/>
      <c r="O138" s="671"/>
      <c r="P138" s="671"/>
      <c r="Q138" s="671"/>
      <c r="R138" s="671"/>
      <c r="S138" s="671"/>
      <c r="T138" s="671"/>
      <c r="U138" s="671"/>
      <c r="V138" s="671"/>
      <c r="W138" s="671"/>
      <c r="X138" s="671"/>
    </row>
    <row r="139" spans="8:24" x14ac:dyDescent="0.35">
      <c r="H139" s="671"/>
      <c r="I139" s="671"/>
      <c r="J139" s="671"/>
      <c r="K139" s="671"/>
      <c r="L139" s="671"/>
      <c r="M139" s="671"/>
      <c r="N139" s="671"/>
      <c r="O139" s="671"/>
      <c r="P139" s="671"/>
      <c r="Q139" s="671"/>
      <c r="R139" s="671"/>
      <c r="S139" s="671"/>
      <c r="T139" s="671"/>
      <c r="U139" s="671"/>
      <c r="V139" s="671"/>
      <c r="W139" s="671"/>
      <c r="X139" s="671"/>
    </row>
    <row r="140" spans="8:24" x14ac:dyDescent="0.35">
      <c r="H140" s="671"/>
      <c r="I140" s="671"/>
      <c r="J140" s="671"/>
      <c r="K140" s="671"/>
      <c r="L140" s="671"/>
      <c r="M140" s="671"/>
      <c r="N140" s="671"/>
      <c r="O140" s="671"/>
      <c r="P140" s="671"/>
      <c r="Q140" s="671"/>
      <c r="R140" s="671"/>
      <c r="S140" s="671"/>
      <c r="T140" s="671"/>
      <c r="U140" s="671"/>
      <c r="V140" s="671"/>
      <c r="W140" s="671"/>
      <c r="X140" s="671"/>
    </row>
    <row r="141" spans="8:24" x14ac:dyDescent="0.35">
      <c r="H141" s="671"/>
      <c r="I141" s="671"/>
      <c r="J141" s="671"/>
      <c r="K141" s="671"/>
      <c r="L141" s="671"/>
      <c r="M141" s="671"/>
      <c r="N141" s="671"/>
      <c r="O141" s="671"/>
      <c r="P141" s="671"/>
      <c r="Q141" s="671"/>
      <c r="R141" s="671"/>
      <c r="S141" s="671"/>
      <c r="T141" s="671"/>
      <c r="U141" s="671"/>
      <c r="V141" s="671"/>
      <c r="W141" s="671"/>
      <c r="X141" s="671"/>
    </row>
    <row r="142" spans="8:24" x14ac:dyDescent="0.35">
      <c r="H142" s="671"/>
      <c r="I142" s="671"/>
      <c r="J142" s="671"/>
      <c r="K142" s="671"/>
      <c r="L142" s="671"/>
      <c r="M142" s="671"/>
      <c r="N142" s="671"/>
      <c r="O142" s="671"/>
      <c r="P142" s="671"/>
      <c r="Q142" s="671"/>
      <c r="R142" s="671"/>
      <c r="S142" s="671"/>
      <c r="T142" s="671"/>
      <c r="U142" s="671"/>
      <c r="V142" s="671"/>
      <c r="W142" s="671"/>
      <c r="X142" s="671"/>
    </row>
    <row r="143" spans="8:24" x14ac:dyDescent="0.35">
      <c r="H143" s="671"/>
      <c r="I143" s="671"/>
      <c r="J143" s="671"/>
      <c r="K143" s="671"/>
      <c r="L143" s="671"/>
      <c r="M143" s="671"/>
      <c r="N143" s="671"/>
      <c r="O143" s="671"/>
      <c r="P143" s="671"/>
      <c r="Q143" s="671"/>
      <c r="R143" s="671"/>
      <c r="S143" s="671"/>
      <c r="T143" s="671"/>
      <c r="U143" s="671"/>
      <c r="V143" s="671"/>
      <c r="W143" s="671"/>
      <c r="X143" s="671"/>
    </row>
    <row r="144" spans="8:24" x14ac:dyDescent="0.35">
      <c r="H144" s="671"/>
      <c r="I144" s="671"/>
      <c r="J144" s="671"/>
      <c r="K144" s="671"/>
      <c r="L144" s="671"/>
      <c r="M144" s="671"/>
      <c r="N144" s="671"/>
      <c r="O144" s="671"/>
      <c r="P144" s="671"/>
      <c r="Q144" s="671"/>
      <c r="R144" s="671"/>
      <c r="S144" s="671"/>
      <c r="T144" s="671"/>
      <c r="U144" s="671"/>
      <c r="V144" s="671"/>
      <c r="W144" s="671"/>
      <c r="X144" s="671"/>
    </row>
    <row r="145" spans="8:24" x14ac:dyDescent="0.35">
      <c r="H145" s="671"/>
      <c r="I145" s="671"/>
      <c r="J145" s="671"/>
      <c r="K145" s="671"/>
      <c r="L145" s="671"/>
      <c r="M145" s="671"/>
      <c r="N145" s="671"/>
      <c r="O145" s="671"/>
      <c r="P145" s="671"/>
      <c r="Q145" s="671"/>
      <c r="R145" s="671"/>
      <c r="S145" s="671"/>
      <c r="T145" s="671"/>
      <c r="U145" s="671"/>
      <c r="V145" s="671"/>
      <c r="W145" s="671"/>
      <c r="X145" s="671"/>
    </row>
    <row r="146" spans="8:24" x14ac:dyDescent="0.35">
      <c r="H146" s="671"/>
      <c r="I146" s="671"/>
      <c r="J146" s="671"/>
      <c r="K146" s="671"/>
      <c r="L146" s="671"/>
      <c r="M146" s="671"/>
      <c r="N146" s="671"/>
      <c r="O146" s="671"/>
      <c r="P146" s="671"/>
      <c r="Q146" s="671"/>
      <c r="R146" s="671"/>
      <c r="S146" s="671"/>
      <c r="T146" s="671"/>
      <c r="U146" s="671"/>
      <c r="V146" s="671"/>
      <c r="W146" s="671"/>
      <c r="X146" s="671"/>
    </row>
    <row r="147" spans="8:24" x14ac:dyDescent="0.35">
      <c r="H147" s="671"/>
      <c r="I147" s="671"/>
      <c r="J147" s="671"/>
      <c r="K147" s="671"/>
      <c r="L147" s="671"/>
      <c r="M147" s="671"/>
      <c r="N147" s="671"/>
      <c r="O147" s="671"/>
      <c r="P147" s="671"/>
      <c r="Q147" s="671"/>
      <c r="R147" s="671"/>
      <c r="S147" s="671"/>
      <c r="T147" s="671"/>
      <c r="U147" s="671"/>
      <c r="V147" s="671"/>
      <c r="W147" s="671"/>
      <c r="X147" s="671"/>
    </row>
    <row r="148" spans="8:24" x14ac:dyDescent="0.35">
      <c r="H148" s="671"/>
      <c r="I148" s="671"/>
      <c r="J148" s="671"/>
      <c r="K148" s="671"/>
      <c r="L148" s="671"/>
      <c r="M148" s="671"/>
      <c r="N148" s="671"/>
      <c r="O148" s="671"/>
      <c r="P148" s="671"/>
      <c r="Q148" s="671"/>
      <c r="R148" s="671"/>
      <c r="S148" s="671"/>
      <c r="T148" s="671"/>
      <c r="U148" s="671"/>
      <c r="V148" s="671"/>
      <c r="W148" s="671"/>
      <c r="X148" s="671"/>
    </row>
    <row r="149" spans="8:24" x14ac:dyDescent="0.35">
      <c r="H149" s="671"/>
      <c r="I149" s="671"/>
      <c r="J149" s="671"/>
      <c r="K149" s="671"/>
      <c r="L149" s="671"/>
      <c r="M149" s="671"/>
      <c r="N149" s="671"/>
      <c r="O149" s="671"/>
      <c r="P149" s="671"/>
      <c r="Q149" s="671"/>
      <c r="R149" s="671"/>
      <c r="S149" s="671"/>
      <c r="T149" s="671"/>
      <c r="U149" s="671"/>
      <c r="V149" s="671"/>
      <c r="W149" s="671"/>
      <c r="X149" s="671"/>
    </row>
    <row r="150" spans="8:24" x14ac:dyDescent="0.35">
      <c r="H150" s="671"/>
      <c r="I150" s="671"/>
      <c r="J150" s="671"/>
      <c r="K150" s="671"/>
      <c r="L150" s="671"/>
      <c r="M150" s="671"/>
      <c r="N150" s="671"/>
      <c r="O150" s="671"/>
      <c r="P150" s="671"/>
      <c r="Q150" s="671"/>
      <c r="R150" s="671"/>
      <c r="S150" s="671"/>
      <c r="T150" s="671"/>
      <c r="U150" s="671"/>
      <c r="V150" s="671"/>
      <c r="W150" s="671"/>
      <c r="X150" s="671"/>
    </row>
    <row r="151" spans="8:24" x14ac:dyDescent="0.35">
      <c r="H151" s="671"/>
      <c r="I151" s="671"/>
      <c r="J151" s="671"/>
      <c r="K151" s="671"/>
      <c r="L151" s="671"/>
      <c r="M151" s="671"/>
      <c r="N151" s="671"/>
      <c r="O151" s="671"/>
      <c r="P151" s="671"/>
      <c r="Q151" s="671"/>
      <c r="R151" s="671"/>
      <c r="S151" s="671"/>
      <c r="T151" s="671"/>
      <c r="U151" s="671"/>
      <c r="V151" s="671"/>
      <c r="W151" s="671"/>
      <c r="X151" s="671"/>
    </row>
    <row r="152" spans="8:24" x14ac:dyDescent="0.35">
      <c r="H152" s="671"/>
      <c r="I152" s="671"/>
      <c r="J152" s="671"/>
      <c r="K152" s="671"/>
      <c r="L152" s="671"/>
      <c r="M152" s="671"/>
      <c r="N152" s="671"/>
      <c r="O152" s="671"/>
      <c r="P152" s="671"/>
      <c r="Q152" s="671"/>
      <c r="R152" s="671"/>
      <c r="S152" s="671"/>
      <c r="T152" s="671"/>
      <c r="U152" s="671"/>
      <c r="V152" s="671"/>
      <c r="W152" s="671"/>
      <c r="X152" s="671"/>
    </row>
    <row r="153" spans="8:24" x14ac:dyDescent="0.35">
      <c r="H153" s="671"/>
      <c r="I153" s="671"/>
      <c r="J153" s="671"/>
      <c r="K153" s="671"/>
      <c r="L153" s="671"/>
      <c r="M153" s="671"/>
      <c r="N153" s="671"/>
      <c r="O153" s="671"/>
      <c r="P153" s="671"/>
      <c r="Q153" s="671"/>
      <c r="R153" s="671"/>
      <c r="S153" s="671"/>
      <c r="T153" s="671"/>
      <c r="U153" s="671"/>
      <c r="V153" s="671"/>
      <c r="W153" s="671"/>
      <c r="X153" s="671"/>
    </row>
    <row r="154" spans="8:24" x14ac:dyDescent="0.35">
      <c r="H154" s="671"/>
      <c r="I154" s="671"/>
      <c r="J154" s="671"/>
      <c r="K154" s="671"/>
      <c r="L154" s="671"/>
      <c r="M154" s="671"/>
      <c r="N154" s="671"/>
      <c r="O154" s="671"/>
      <c r="P154" s="671"/>
      <c r="Q154" s="671"/>
      <c r="R154" s="671"/>
      <c r="S154" s="671"/>
      <c r="T154" s="671"/>
      <c r="U154" s="671"/>
      <c r="V154" s="671"/>
      <c r="W154" s="671"/>
      <c r="X154" s="671"/>
    </row>
    <row r="155" spans="8:24" x14ac:dyDescent="0.35">
      <c r="H155" s="671"/>
      <c r="I155" s="671"/>
      <c r="J155" s="671"/>
      <c r="K155" s="671"/>
      <c r="L155" s="671"/>
      <c r="M155" s="671"/>
      <c r="N155" s="671"/>
      <c r="O155" s="671"/>
      <c r="P155" s="671"/>
      <c r="Q155" s="671"/>
      <c r="R155" s="671"/>
      <c r="S155" s="671"/>
      <c r="T155" s="671"/>
      <c r="U155" s="671"/>
      <c r="V155" s="671"/>
      <c r="W155" s="671"/>
      <c r="X155" s="671"/>
    </row>
    <row r="156" spans="8:24" x14ac:dyDescent="0.35">
      <c r="H156" s="671"/>
      <c r="I156" s="671"/>
      <c r="J156" s="671"/>
      <c r="K156" s="671"/>
      <c r="L156" s="671"/>
      <c r="M156" s="671"/>
      <c r="N156" s="671"/>
      <c r="O156" s="671"/>
      <c r="P156" s="671"/>
      <c r="Q156" s="671"/>
      <c r="R156" s="671"/>
      <c r="S156" s="671"/>
      <c r="T156" s="671"/>
      <c r="U156" s="671"/>
      <c r="V156" s="671"/>
      <c r="W156" s="671"/>
      <c r="X156" s="671"/>
    </row>
    <row r="157" spans="8:24" x14ac:dyDescent="0.35">
      <c r="H157" s="671"/>
      <c r="I157" s="671"/>
      <c r="J157" s="671"/>
      <c r="K157" s="671"/>
      <c r="L157" s="671"/>
      <c r="M157" s="671"/>
      <c r="N157" s="671"/>
      <c r="O157" s="671"/>
      <c r="P157" s="671"/>
      <c r="Q157" s="671"/>
      <c r="R157" s="671"/>
      <c r="S157" s="671"/>
      <c r="T157" s="671"/>
      <c r="U157" s="671"/>
      <c r="V157" s="671"/>
      <c r="W157" s="671"/>
      <c r="X157" s="671"/>
    </row>
    <row r="158" spans="8:24" x14ac:dyDescent="0.35">
      <c r="H158" s="671"/>
      <c r="I158" s="671"/>
      <c r="J158" s="671"/>
      <c r="K158" s="671"/>
      <c r="L158" s="671"/>
      <c r="M158" s="671"/>
      <c r="N158" s="671"/>
      <c r="O158" s="671"/>
      <c r="P158" s="671"/>
      <c r="Q158" s="671"/>
      <c r="R158" s="671"/>
      <c r="S158" s="671"/>
      <c r="T158" s="671"/>
      <c r="U158" s="671"/>
      <c r="V158" s="671"/>
      <c r="W158" s="671"/>
      <c r="X158" s="671"/>
    </row>
    <row r="159" spans="8:24" x14ac:dyDescent="0.35">
      <c r="H159" s="671"/>
      <c r="I159" s="671"/>
      <c r="J159" s="671"/>
      <c r="K159" s="671"/>
      <c r="L159" s="671"/>
      <c r="M159" s="671"/>
      <c r="N159" s="671"/>
      <c r="O159" s="671"/>
      <c r="P159" s="671"/>
      <c r="Q159" s="671"/>
      <c r="R159" s="671"/>
      <c r="S159" s="671"/>
      <c r="T159" s="671"/>
      <c r="U159" s="671"/>
      <c r="V159" s="671"/>
      <c r="W159" s="671"/>
      <c r="X159" s="671"/>
    </row>
    <row r="160" spans="8:24" x14ac:dyDescent="0.35">
      <c r="H160" s="671"/>
      <c r="I160" s="671"/>
      <c r="J160" s="671"/>
      <c r="K160" s="671"/>
      <c r="L160" s="671"/>
      <c r="M160" s="671"/>
      <c r="N160" s="671"/>
      <c r="O160" s="671"/>
      <c r="P160" s="671"/>
      <c r="Q160" s="671"/>
      <c r="R160" s="671"/>
      <c r="S160" s="671"/>
      <c r="T160" s="671"/>
      <c r="U160" s="671"/>
      <c r="V160" s="671"/>
      <c r="W160" s="671"/>
      <c r="X160" s="671"/>
    </row>
    <row r="161" spans="8:24" x14ac:dyDescent="0.35">
      <c r="H161" s="671"/>
      <c r="I161" s="671"/>
      <c r="J161" s="671"/>
      <c r="K161" s="671"/>
      <c r="L161" s="671"/>
      <c r="M161" s="671"/>
      <c r="N161" s="671"/>
      <c r="O161" s="671"/>
      <c r="P161" s="671"/>
      <c r="Q161" s="671"/>
      <c r="R161" s="671"/>
      <c r="S161" s="671"/>
      <c r="T161" s="671"/>
      <c r="U161" s="671"/>
      <c r="V161" s="671"/>
      <c r="W161" s="671"/>
      <c r="X161" s="671"/>
    </row>
    <row r="162" spans="8:24" x14ac:dyDescent="0.35">
      <c r="H162" s="671"/>
      <c r="I162" s="671"/>
      <c r="J162" s="671"/>
      <c r="K162" s="671"/>
      <c r="L162" s="671"/>
      <c r="M162" s="671"/>
      <c r="N162" s="671"/>
      <c r="O162" s="671"/>
      <c r="P162" s="671"/>
      <c r="Q162" s="671"/>
      <c r="R162" s="671"/>
      <c r="S162" s="671"/>
      <c r="T162" s="671"/>
      <c r="U162" s="671"/>
      <c r="V162" s="671"/>
      <c r="W162" s="671"/>
      <c r="X162" s="671"/>
    </row>
    <row r="163" spans="8:24" x14ac:dyDescent="0.35">
      <c r="H163" s="671"/>
      <c r="I163" s="671"/>
      <c r="J163" s="671"/>
      <c r="K163" s="671"/>
      <c r="L163" s="671"/>
      <c r="M163" s="671"/>
      <c r="N163" s="671"/>
      <c r="O163" s="671"/>
      <c r="P163" s="671"/>
      <c r="Q163" s="671"/>
      <c r="R163" s="671"/>
      <c r="S163" s="671"/>
      <c r="T163" s="671"/>
      <c r="U163" s="671"/>
      <c r="V163" s="671"/>
      <c r="W163" s="671"/>
      <c r="X163" s="671"/>
    </row>
    <row r="164" spans="8:24" x14ac:dyDescent="0.35">
      <c r="H164" s="671"/>
      <c r="I164" s="671"/>
      <c r="J164" s="671"/>
      <c r="K164" s="671"/>
      <c r="L164" s="671"/>
      <c r="M164" s="671"/>
      <c r="N164" s="671"/>
      <c r="O164" s="671"/>
      <c r="P164" s="671"/>
      <c r="Q164" s="671"/>
      <c r="R164" s="671"/>
      <c r="S164" s="671"/>
      <c r="T164" s="671"/>
      <c r="U164" s="671"/>
      <c r="V164" s="671"/>
      <c r="W164" s="671"/>
      <c r="X164" s="671"/>
    </row>
    <row r="165" spans="8:24" x14ac:dyDescent="0.35">
      <c r="H165" s="671"/>
      <c r="I165" s="671"/>
      <c r="J165" s="671"/>
      <c r="K165" s="671"/>
      <c r="L165" s="671"/>
      <c r="M165" s="671"/>
      <c r="N165" s="671"/>
      <c r="O165" s="671"/>
      <c r="P165" s="671"/>
      <c r="Q165" s="671"/>
      <c r="R165" s="671"/>
      <c r="S165" s="671"/>
      <c r="T165" s="671"/>
      <c r="U165" s="671"/>
      <c r="V165" s="671"/>
      <c r="W165" s="671"/>
      <c r="X165" s="671"/>
    </row>
    <row r="166" spans="8:24" x14ac:dyDescent="0.35">
      <c r="H166" s="671"/>
      <c r="I166" s="671"/>
      <c r="J166" s="671"/>
      <c r="K166" s="671"/>
      <c r="L166" s="671"/>
      <c r="M166" s="671"/>
      <c r="N166" s="671"/>
      <c r="O166" s="671"/>
      <c r="P166" s="671"/>
      <c r="Q166" s="671"/>
      <c r="R166" s="671"/>
      <c r="S166" s="671"/>
      <c r="T166" s="671"/>
      <c r="U166" s="671"/>
      <c r="V166" s="671"/>
      <c r="W166" s="671"/>
      <c r="X166" s="671"/>
    </row>
    <row r="167" spans="8:24" x14ac:dyDescent="0.35">
      <c r="H167" s="671"/>
      <c r="I167" s="671"/>
      <c r="J167" s="671"/>
      <c r="K167" s="671"/>
      <c r="L167" s="671"/>
      <c r="M167" s="671"/>
      <c r="N167" s="671"/>
      <c r="O167" s="671"/>
      <c r="P167" s="671"/>
      <c r="Q167" s="671"/>
      <c r="R167" s="671"/>
      <c r="S167" s="671"/>
      <c r="T167" s="671"/>
      <c r="U167" s="671"/>
      <c r="V167" s="671"/>
      <c r="W167" s="671"/>
      <c r="X167" s="671"/>
    </row>
    <row r="168" spans="8:24" x14ac:dyDescent="0.35">
      <c r="H168" s="671"/>
      <c r="I168" s="671"/>
      <c r="J168" s="671"/>
      <c r="K168" s="671"/>
      <c r="L168" s="671"/>
      <c r="M168" s="671"/>
      <c r="N168" s="671"/>
      <c r="O168" s="671"/>
      <c r="P168" s="671"/>
      <c r="Q168" s="671"/>
      <c r="R168" s="671"/>
      <c r="S168" s="671"/>
      <c r="T168" s="671"/>
      <c r="U168" s="671"/>
      <c r="V168" s="671"/>
      <c r="W168" s="671"/>
      <c r="X168" s="671"/>
    </row>
    <row r="169" spans="8:24" x14ac:dyDescent="0.35">
      <c r="H169" s="671"/>
      <c r="I169" s="671"/>
      <c r="J169" s="671"/>
      <c r="K169" s="671"/>
      <c r="L169" s="671"/>
      <c r="M169" s="671"/>
      <c r="N169" s="671"/>
      <c r="O169" s="671"/>
      <c r="P169" s="671"/>
      <c r="Q169" s="671"/>
      <c r="R169" s="671"/>
      <c r="S169" s="671"/>
      <c r="T169" s="671"/>
      <c r="U169" s="671"/>
      <c r="V169" s="671"/>
      <c r="W169" s="671"/>
      <c r="X169" s="671"/>
    </row>
    <row r="170" spans="8:24" x14ac:dyDescent="0.35">
      <c r="H170" s="671"/>
      <c r="I170" s="671"/>
      <c r="J170" s="671"/>
      <c r="K170" s="671"/>
      <c r="L170" s="671"/>
      <c r="M170" s="671"/>
      <c r="N170" s="671"/>
      <c r="O170" s="671"/>
      <c r="P170" s="671"/>
      <c r="Q170" s="671"/>
      <c r="R170" s="671"/>
      <c r="S170" s="671"/>
      <c r="T170" s="671"/>
      <c r="U170" s="671"/>
      <c r="V170" s="671"/>
      <c r="W170" s="671"/>
      <c r="X170" s="671"/>
    </row>
    <row r="171" spans="8:24" x14ac:dyDescent="0.35">
      <c r="H171" s="671"/>
      <c r="I171" s="671"/>
      <c r="J171" s="671"/>
      <c r="K171" s="671"/>
      <c r="L171" s="671"/>
      <c r="M171" s="671"/>
      <c r="N171" s="671"/>
      <c r="O171" s="671"/>
      <c r="P171" s="671"/>
      <c r="Q171" s="671"/>
      <c r="R171" s="671"/>
      <c r="S171" s="671"/>
      <c r="T171" s="671"/>
      <c r="U171" s="671"/>
      <c r="V171" s="671"/>
      <c r="W171" s="671"/>
      <c r="X171" s="671"/>
    </row>
    <row r="172" spans="8:24" x14ac:dyDescent="0.35">
      <c r="H172" s="671"/>
      <c r="I172" s="671"/>
      <c r="J172" s="671"/>
      <c r="K172" s="671"/>
      <c r="L172" s="671"/>
      <c r="M172" s="671"/>
      <c r="N172" s="671"/>
      <c r="O172" s="671"/>
      <c r="P172" s="671"/>
      <c r="Q172" s="671"/>
      <c r="R172" s="671"/>
      <c r="S172" s="671"/>
      <c r="T172" s="671"/>
      <c r="U172" s="671"/>
      <c r="V172" s="671"/>
      <c r="W172" s="671"/>
      <c r="X172" s="671"/>
    </row>
    <row r="173" spans="8:24" x14ac:dyDescent="0.35">
      <c r="H173" s="671"/>
      <c r="I173" s="671"/>
      <c r="J173" s="671"/>
      <c r="K173" s="671"/>
      <c r="L173" s="671"/>
      <c r="M173" s="671"/>
      <c r="N173" s="671"/>
      <c r="O173" s="671"/>
      <c r="P173" s="671"/>
      <c r="Q173" s="671"/>
      <c r="R173" s="671"/>
      <c r="S173" s="671"/>
      <c r="T173" s="671"/>
      <c r="U173" s="671"/>
      <c r="V173" s="671"/>
      <c r="W173" s="671"/>
      <c r="X173" s="671"/>
    </row>
    <row r="174" spans="8:24" x14ac:dyDescent="0.35">
      <c r="H174" s="671"/>
      <c r="I174" s="671"/>
      <c r="J174" s="671"/>
      <c r="K174" s="671"/>
      <c r="L174" s="671"/>
      <c r="M174" s="671"/>
      <c r="N174" s="671"/>
      <c r="O174" s="671"/>
      <c r="P174" s="671"/>
      <c r="Q174" s="671"/>
      <c r="R174" s="671"/>
      <c r="S174" s="671"/>
      <c r="T174" s="671"/>
      <c r="U174" s="671"/>
      <c r="V174" s="671"/>
      <c r="W174" s="671"/>
      <c r="X174" s="671"/>
    </row>
    <row r="175" spans="8:24" x14ac:dyDescent="0.35">
      <c r="H175" s="671"/>
      <c r="I175" s="671"/>
      <c r="J175" s="671"/>
      <c r="K175" s="671"/>
      <c r="L175" s="671"/>
      <c r="M175" s="671"/>
      <c r="N175" s="671"/>
      <c r="O175" s="671"/>
      <c r="P175" s="671"/>
      <c r="Q175" s="671"/>
      <c r="R175" s="671"/>
      <c r="S175" s="671"/>
      <c r="T175" s="671"/>
      <c r="U175" s="671"/>
      <c r="V175" s="671"/>
      <c r="W175" s="671"/>
      <c r="X175" s="671"/>
    </row>
    <row r="176" spans="8:24" x14ac:dyDescent="0.35">
      <c r="H176" s="671"/>
      <c r="I176" s="671"/>
      <c r="J176" s="671"/>
      <c r="K176" s="671"/>
      <c r="L176" s="671"/>
      <c r="M176" s="671"/>
      <c r="N176" s="671"/>
      <c r="O176" s="671"/>
      <c r="P176" s="671"/>
      <c r="Q176" s="671"/>
      <c r="R176" s="671"/>
      <c r="S176" s="671"/>
      <c r="T176" s="671"/>
      <c r="U176" s="671"/>
      <c r="V176" s="671"/>
      <c r="W176" s="671"/>
      <c r="X176" s="671"/>
    </row>
    <row r="177" spans="8:24" x14ac:dyDescent="0.35">
      <c r="H177" s="671"/>
      <c r="I177" s="671"/>
      <c r="J177" s="671"/>
      <c r="K177" s="671"/>
      <c r="L177" s="671"/>
      <c r="M177" s="671"/>
      <c r="N177" s="671"/>
      <c r="O177" s="671"/>
      <c r="P177" s="671"/>
      <c r="Q177" s="671"/>
      <c r="R177" s="671"/>
      <c r="S177" s="671"/>
      <c r="T177" s="671"/>
      <c r="U177" s="671"/>
      <c r="V177" s="671"/>
      <c r="W177" s="671"/>
      <c r="X177" s="671"/>
    </row>
    <row r="178" spans="8:24" x14ac:dyDescent="0.35">
      <c r="H178" s="671"/>
      <c r="I178" s="671"/>
      <c r="J178" s="671"/>
      <c r="K178" s="671"/>
      <c r="L178" s="671"/>
      <c r="M178" s="671"/>
      <c r="N178" s="671"/>
      <c r="O178" s="671"/>
      <c r="P178" s="671"/>
      <c r="Q178" s="671"/>
      <c r="R178" s="671"/>
      <c r="S178" s="671"/>
      <c r="T178" s="671"/>
      <c r="U178" s="671"/>
      <c r="V178" s="671"/>
      <c r="W178" s="671"/>
      <c r="X178" s="671"/>
    </row>
    <row r="179" spans="8:24" x14ac:dyDescent="0.35">
      <c r="H179" s="671"/>
      <c r="I179" s="671"/>
      <c r="J179" s="671"/>
      <c r="K179" s="671"/>
      <c r="L179" s="671"/>
      <c r="M179" s="671"/>
      <c r="N179" s="671"/>
      <c r="O179" s="671"/>
      <c r="P179" s="671"/>
      <c r="Q179" s="671"/>
      <c r="R179" s="671"/>
      <c r="S179" s="671"/>
      <c r="T179" s="671"/>
      <c r="U179" s="671"/>
      <c r="V179" s="671"/>
      <c r="W179" s="671"/>
      <c r="X179" s="671"/>
    </row>
    <row r="180" spans="8:24" x14ac:dyDescent="0.35">
      <c r="H180" s="671"/>
      <c r="I180" s="671"/>
      <c r="J180" s="671"/>
      <c r="K180" s="671"/>
      <c r="L180" s="671"/>
      <c r="M180" s="671"/>
      <c r="N180" s="671"/>
      <c r="O180" s="671"/>
      <c r="P180" s="671"/>
      <c r="Q180" s="671"/>
      <c r="R180" s="671"/>
      <c r="S180" s="671"/>
      <c r="T180" s="671"/>
      <c r="U180" s="671"/>
      <c r="V180" s="671"/>
      <c r="W180" s="671"/>
      <c r="X180" s="671"/>
    </row>
    <row r="181" spans="8:24" x14ac:dyDescent="0.35">
      <c r="H181" s="671"/>
      <c r="I181" s="671"/>
      <c r="J181" s="671"/>
      <c r="K181" s="671"/>
      <c r="L181" s="671"/>
      <c r="M181" s="671"/>
      <c r="N181" s="671"/>
      <c r="O181" s="671"/>
      <c r="P181" s="671"/>
      <c r="Q181" s="671"/>
      <c r="R181" s="671"/>
      <c r="S181" s="671"/>
      <c r="T181" s="671"/>
      <c r="U181" s="671"/>
      <c r="V181" s="671"/>
      <c r="W181" s="671"/>
      <c r="X181" s="671"/>
    </row>
    <row r="182" spans="8:24" x14ac:dyDescent="0.35">
      <c r="H182" s="671"/>
      <c r="I182" s="671"/>
      <c r="J182" s="671"/>
      <c r="K182" s="671"/>
      <c r="L182" s="671"/>
      <c r="M182" s="671"/>
      <c r="N182" s="671"/>
      <c r="O182" s="671"/>
      <c r="P182" s="671"/>
      <c r="Q182" s="671"/>
      <c r="R182" s="671"/>
      <c r="S182" s="671"/>
      <c r="T182" s="671"/>
      <c r="U182" s="671"/>
      <c r="V182" s="671"/>
      <c r="W182" s="671"/>
      <c r="X182" s="671"/>
    </row>
    <row r="183" spans="8:24" x14ac:dyDescent="0.35">
      <c r="H183" s="671"/>
      <c r="I183" s="671"/>
      <c r="J183" s="671"/>
      <c r="K183" s="671"/>
      <c r="L183" s="671"/>
      <c r="M183" s="671"/>
      <c r="N183" s="671"/>
      <c r="O183" s="671"/>
      <c r="P183" s="671"/>
      <c r="Q183" s="671"/>
      <c r="R183" s="671"/>
      <c r="S183" s="671"/>
      <c r="T183" s="671"/>
      <c r="U183" s="671"/>
      <c r="V183" s="671"/>
      <c r="W183" s="671"/>
      <c r="X183" s="671"/>
    </row>
    <row r="184" spans="8:24" x14ac:dyDescent="0.35">
      <c r="H184" s="671"/>
      <c r="I184" s="671"/>
      <c r="J184" s="671"/>
      <c r="K184" s="671"/>
      <c r="L184" s="671"/>
      <c r="M184" s="671"/>
      <c r="N184" s="671"/>
      <c r="O184" s="671"/>
      <c r="P184" s="671"/>
      <c r="Q184" s="671"/>
      <c r="R184" s="671"/>
      <c r="S184" s="671"/>
      <c r="T184" s="671"/>
      <c r="U184" s="671"/>
      <c r="V184" s="671"/>
      <c r="W184" s="671"/>
      <c r="X184" s="671"/>
    </row>
    <row r="185" spans="8:24" x14ac:dyDescent="0.35">
      <c r="H185" s="671"/>
      <c r="I185" s="671"/>
      <c r="J185" s="671"/>
      <c r="K185" s="671"/>
      <c r="L185" s="671"/>
      <c r="M185" s="671"/>
      <c r="N185" s="671"/>
      <c r="O185" s="671"/>
      <c r="P185" s="671"/>
      <c r="Q185" s="671"/>
      <c r="R185" s="671"/>
      <c r="S185" s="671"/>
      <c r="T185" s="671"/>
      <c r="U185" s="671"/>
      <c r="V185" s="671"/>
      <c r="W185" s="671"/>
      <c r="X185" s="671"/>
    </row>
    <row r="186" spans="8:24" x14ac:dyDescent="0.35">
      <c r="H186" s="671"/>
      <c r="I186" s="671"/>
      <c r="J186" s="671"/>
      <c r="K186" s="671"/>
      <c r="L186" s="671"/>
      <c r="M186" s="671"/>
      <c r="N186" s="671"/>
      <c r="O186" s="671"/>
      <c r="P186" s="671"/>
      <c r="Q186" s="671"/>
      <c r="R186" s="671"/>
      <c r="S186" s="671"/>
      <c r="T186" s="671"/>
      <c r="U186" s="671"/>
      <c r="V186" s="671"/>
      <c r="W186" s="671"/>
      <c r="X186" s="671"/>
    </row>
    <row r="187" spans="8:24" x14ac:dyDescent="0.35">
      <c r="H187" s="671"/>
      <c r="I187" s="671"/>
      <c r="J187" s="671"/>
      <c r="K187" s="671"/>
      <c r="L187" s="671"/>
      <c r="M187" s="671"/>
      <c r="N187" s="671"/>
      <c r="O187" s="671"/>
      <c r="P187" s="671"/>
      <c r="Q187" s="671"/>
      <c r="R187" s="671"/>
      <c r="S187" s="671"/>
      <c r="T187" s="671"/>
      <c r="U187" s="671"/>
      <c r="V187" s="671"/>
      <c r="W187" s="671"/>
      <c r="X187" s="671"/>
    </row>
    <row r="188" spans="8:24" x14ac:dyDescent="0.35">
      <c r="H188" s="671"/>
      <c r="I188" s="671"/>
      <c r="J188" s="671"/>
      <c r="K188" s="671"/>
      <c r="L188" s="671"/>
      <c r="M188" s="671"/>
      <c r="N188" s="671"/>
      <c r="O188" s="671"/>
      <c r="P188" s="671"/>
      <c r="Q188" s="671"/>
      <c r="R188" s="671"/>
      <c r="S188" s="671"/>
      <c r="T188" s="671"/>
      <c r="U188" s="671"/>
      <c r="V188" s="671"/>
      <c r="W188" s="671"/>
      <c r="X188" s="671"/>
    </row>
    <row r="189" spans="8:24" x14ac:dyDescent="0.35">
      <c r="H189" s="671"/>
      <c r="I189" s="671"/>
      <c r="J189" s="671"/>
      <c r="K189" s="671"/>
      <c r="L189" s="671"/>
      <c r="M189" s="671"/>
      <c r="N189" s="671"/>
      <c r="O189" s="671"/>
      <c r="P189" s="671"/>
      <c r="Q189" s="671"/>
      <c r="R189" s="671"/>
      <c r="S189" s="671"/>
      <c r="T189" s="671"/>
      <c r="U189" s="671"/>
      <c r="V189" s="671"/>
      <c r="W189" s="671"/>
      <c r="X189" s="671"/>
    </row>
    <row r="190" spans="8:24" x14ac:dyDescent="0.35">
      <c r="H190" s="671"/>
      <c r="I190" s="671"/>
      <c r="J190" s="671"/>
      <c r="K190" s="671"/>
      <c r="L190" s="671"/>
      <c r="M190" s="671"/>
      <c r="N190" s="671"/>
      <c r="O190" s="671"/>
      <c r="P190" s="671"/>
      <c r="Q190" s="671"/>
      <c r="R190" s="671"/>
      <c r="S190" s="671"/>
      <c r="T190" s="671"/>
      <c r="U190" s="671"/>
      <c r="V190" s="671"/>
      <c r="W190" s="671"/>
      <c r="X190" s="671"/>
    </row>
    <row r="191" spans="8:24" x14ac:dyDescent="0.35">
      <c r="H191" s="671"/>
      <c r="I191" s="671"/>
      <c r="J191" s="671"/>
      <c r="K191" s="671"/>
      <c r="L191" s="671"/>
      <c r="M191" s="671"/>
      <c r="N191" s="671"/>
      <c r="O191" s="671"/>
      <c r="P191" s="671"/>
      <c r="Q191" s="671"/>
      <c r="R191" s="671"/>
      <c r="S191" s="671"/>
      <c r="T191" s="671"/>
      <c r="U191" s="671"/>
      <c r="V191" s="671"/>
      <c r="W191" s="671"/>
      <c r="X191" s="671"/>
    </row>
    <row r="192" spans="8:24" x14ac:dyDescent="0.35">
      <c r="H192" s="671"/>
      <c r="I192" s="671"/>
      <c r="J192" s="671"/>
      <c r="K192" s="671"/>
      <c r="L192" s="671"/>
      <c r="M192" s="671"/>
      <c r="N192" s="671"/>
      <c r="O192" s="671"/>
      <c r="P192" s="671"/>
      <c r="Q192" s="671"/>
      <c r="R192" s="671"/>
      <c r="S192" s="671"/>
      <c r="T192" s="671"/>
      <c r="U192" s="671"/>
      <c r="V192" s="671"/>
      <c r="W192" s="671"/>
      <c r="X192" s="671"/>
    </row>
    <row r="193" spans="8:24" x14ac:dyDescent="0.35">
      <c r="H193" s="671"/>
      <c r="I193" s="671"/>
      <c r="J193" s="671"/>
      <c r="K193" s="671"/>
      <c r="L193" s="671"/>
      <c r="M193" s="671"/>
      <c r="N193" s="671"/>
      <c r="O193" s="671"/>
      <c r="P193" s="671"/>
      <c r="Q193" s="671"/>
      <c r="R193" s="671"/>
      <c r="S193" s="671"/>
      <c r="T193" s="671"/>
      <c r="U193" s="671"/>
      <c r="V193" s="671"/>
      <c r="W193" s="671"/>
      <c r="X193" s="671"/>
    </row>
    <row r="194" spans="8:24" x14ac:dyDescent="0.35">
      <c r="H194" s="671"/>
      <c r="I194" s="671"/>
      <c r="J194" s="671"/>
      <c r="K194" s="671"/>
      <c r="L194" s="671"/>
      <c r="M194" s="671"/>
      <c r="N194" s="671"/>
      <c r="O194" s="671"/>
      <c r="P194" s="671"/>
      <c r="Q194" s="671"/>
      <c r="R194" s="671"/>
      <c r="S194" s="671"/>
      <c r="T194" s="671"/>
      <c r="U194" s="671"/>
      <c r="V194" s="671"/>
      <c r="W194" s="671"/>
      <c r="X194" s="671"/>
    </row>
    <row r="195" spans="8:24" x14ac:dyDescent="0.35">
      <c r="H195" s="671"/>
      <c r="I195" s="671"/>
      <c r="J195" s="671"/>
      <c r="K195" s="671"/>
      <c r="L195" s="671"/>
      <c r="M195" s="671"/>
      <c r="N195" s="671"/>
      <c r="O195" s="671"/>
      <c r="P195" s="671"/>
      <c r="Q195" s="671"/>
      <c r="R195" s="671"/>
      <c r="S195" s="671"/>
      <c r="T195" s="671"/>
      <c r="U195" s="671"/>
      <c r="V195" s="671"/>
      <c r="W195" s="671"/>
      <c r="X195" s="671"/>
    </row>
    <row r="196" spans="8:24" x14ac:dyDescent="0.35">
      <c r="H196" s="671"/>
      <c r="I196" s="671"/>
      <c r="J196" s="671"/>
      <c r="K196" s="671"/>
      <c r="L196" s="671"/>
      <c r="M196" s="671"/>
      <c r="N196" s="671"/>
      <c r="O196" s="671"/>
      <c r="P196" s="671"/>
      <c r="Q196" s="671"/>
      <c r="R196" s="671"/>
      <c r="S196" s="671"/>
      <c r="T196" s="671"/>
      <c r="U196" s="671"/>
      <c r="V196" s="671"/>
      <c r="W196" s="671"/>
      <c r="X196" s="671"/>
    </row>
    <row r="197" spans="8:24" x14ac:dyDescent="0.35">
      <c r="H197" s="671"/>
      <c r="I197" s="671"/>
      <c r="J197" s="671"/>
      <c r="K197" s="671"/>
      <c r="L197" s="671"/>
      <c r="M197" s="671"/>
      <c r="N197" s="671"/>
      <c r="O197" s="671"/>
      <c r="P197" s="671"/>
      <c r="Q197" s="671"/>
      <c r="R197" s="671"/>
      <c r="S197" s="671"/>
      <c r="T197" s="671"/>
      <c r="U197" s="671"/>
      <c r="V197" s="671"/>
      <c r="W197" s="671"/>
      <c r="X197" s="671"/>
    </row>
    <row r="198" spans="8:24" x14ac:dyDescent="0.35">
      <c r="H198" s="671"/>
      <c r="I198" s="671"/>
      <c r="J198" s="671"/>
      <c r="K198" s="671"/>
      <c r="L198" s="671"/>
      <c r="M198" s="671"/>
      <c r="N198" s="671"/>
      <c r="O198" s="671"/>
      <c r="P198" s="671"/>
      <c r="Q198" s="671"/>
      <c r="R198" s="671"/>
      <c r="S198" s="671"/>
      <c r="T198" s="671"/>
      <c r="U198" s="671"/>
      <c r="V198" s="671"/>
      <c r="W198" s="671"/>
      <c r="X198" s="671"/>
    </row>
    <row r="199" spans="8:24" x14ac:dyDescent="0.35">
      <c r="H199" s="671"/>
      <c r="I199" s="671"/>
      <c r="J199" s="671"/>
      <c r="K199" s="671"/>
      <c r="L199" s="671"/>
      <c r="M199" s="671"/>
      <c r="N199" s="671"/>
      <c r="O199" s="671"/>
      <c r="P199" s="671"/>
      <c r="Q199" s="671"/>
      <c r="R199" s="671"/>
      <c r="S199" s="671"/>
      <c r="T199" s="671"/>
      <c r="U199" s="671"/>
      <c r="V199" s="671"/>
      <c r="W199" s="671"/>
      <c r="X199" s="671"/>
    </row>
    <row r="200" spans="8:24" x14ac:dyDescent="0.35">
      <c r="H200" s="671"/>
      <c r="I200" s="671"/>
      <c r="J200" s="671"/>
      <c r="K200" s="671"/>
      <c r="L200" s="671"/>
      <c r="M200" s="671"/>
      <c r="N200" s="671"/>
      <c r="O200" s="671"/>
      <c r="P200" s="671"/>
      <c r="Q200" s="671"/>
      <c r="R200" s="671"/>
      <c r="S200" s="671"/>
      <c r="T200" s="671"/>
      <c r="U200" s="671"/>
      <c r="V200" s="671"/>
      <c r="W200" s="671"/>
      <c r="X200" s="671"/>
    </row>
    <row r="201" spans="8:24" x14ac:dyDescent="0.35">
      <c r="H201" s="671"/>
      <c r="I201" s="671"/>
      <c r="J201" s="671"/>
      <c r="K201" s="671"/>
      <c r="L201" s="671"/>
      <c r="M201" s="671"/>
      <c r="N201" s="671"/>
      <c r="O201" s="671"/>
      <c r="P201" s="671"/>
      <c r="Q201" s="671"/>
      <c r="R201" s="671"/>
      <c r="S201" s="671"/>
      <c r="T201" s="671"/>
      <c r="U201" s="671"/>
      <c r="V201" s="671"/>
      <c r="W201" s="671"/>
      <c r="X201" s="671"/>
    </row>
    <row r="202" spans="8:24" x14ac:dyDescent="0.35">
      <c r="H202" s="671"/>
      <c r="I202" s="671"/>
      <c r="J202" s="671"/>
      <c r="K202" s="671"/>
      <c r="L202" s="671"/>
      <c r="M202" s="671"/>
      <c r="N202" s="671"/>
      <c r="O202" s="671"/>
      <c r="P202" s="671"/>
      <c r="Q202" s="671"/>
      <c r="R202" s="671"/>
      <c r="S202" s="671"/>
      <c r="T202" s="671"/>
      <c r="U202" s="671"/>
      <c r="V202" s="671"/>
      <c r="W202" s="671"/>
      <c r="X202" s="671"/>
    </row>
    <row r="203" spans="8:24" x14ac:dyDescent="0.35">
      <c r="H203" s="671"/>
      <c r="I203" s="671"/>
      <c r="J203" s="671"/>
      <c r="K203" s="671"/>
      <c r="L203" s="671"/>
      <c r="M203" s="671"/>
      <c r="N203" s="671"/>
      <c r="O203" s="671"/>
      <c r="P203" s="671"/>
      <c r="Q203" s="671"/>
      <c r="R203" s="671"/>
      <c r="S203" s="671"/>
      <c r="T203" s="671"/>
      <c r="U203" s="671"/>
      <c r="V203" s="671"/>
      <c r="W203" s="671"/>
      <c r="X203" s="671"/>
    </row>
    <row r="204" spans="8:24" x14ac:dyDescent="0.35">
      <c r="H204" s="671"/>
      <c r="I204" s="671"/>
      <c r="J204" s="671"/>
      <c r="K204" s="671"/>
      <c r="L204" s="671"/>
      <c r="M204" s="671"/>
      <c r="N204" s="671"/>
      <c r="O204" s="671"/>
      <c r="P204" s="671"/>
      <c r="Q204" s="671"/>
      <c r="R204" s="671"/>
      <c r="S204" s="671"/>
      <c r="T204" s="671"/>
      <c r="U204" s="671"/>
      <c r="V204" s="671"/>
      <c r="W204" s="671"/>
      <c r="X204" s="671"/>
    </row>
    <row r="205" spans="8:24" x14ac:dyDescent="0.35">
      <c r="H205" s="671"/>
      <c r="I205" s="671"/>
      <c r="J205" s="671"/>
      <c r="K205" s="671"/>
      <c r="L205" s="671"/>
      <c r="M205" s="671"/>
      <c r="N205" s="671"/>
      <c r="O205" s="671"/>
      <c r="P205" s="671"/>
      <c r="Q205" s="671"/>
      <c r="R205" s="671"/>
      <c r="S205" s="671"/>
      <c r="T205" s="671"/>
      <c r="U205" s="671"/>
      <c r="V205" s="671"/>
      <c r="W205" s="671"/>
      <c r="X205" s="671"/>
    </row>
    <row r="206" spans="8:24" x14ac:dyDescent="0.35">
      <c r="H206" s="671"/>
      <c r="I206" s="671"/>
      <c r="J206" s="671"/>
      <c r="K206" s="671"/>
      <c r="L206" s="671"/>
      <c r="M206" s="671"/>
      <c r="N206" s="671"/>
      <c r="O206" s="671"/>
      <c r="P206" s="671"/>
      <c r="Q206" s="671"/>
      <c r="R206" s="671"/>
      <c r="S206" s="671"/>
      <c r="T206" s="671"/>
      <c r="U206" s="671"/>
      <c r="V206" s="671"/>
      <c r="W206" s="671"/>
      <c r="X206" s="671"/>
    </row>
    <row r="207" spans="8:24" x14ac:dyDescent="0.35">
      <c r="H207" s="671"/>
      <c r="I207" s="671"/>
      <c r="J207" s="671"/>
      <c r="K207" s="671"/>
      <c r="L207" s="671"/>
      <c r="M207" s="671"/>
      <c r="N207" s="671"/>
      <c r="O207" s="671"/>
      <c r="P207" s="671"/>
      <c r="Q207" s="671"/>
      <c r="R207" s="671"/>
      <c r="S207" s="671"/>
      <c r="T207" s="671"/>
      <c r="U207" s="671"/>
      <c r="V207" s="671"/>
      <c r="W207" s="671"/>
      <c r="X207" s="671"/>
    </row>
    <row r="208" spans="8:24" x14ac:dyDescent="0.35">
      <c r="H208" s="671"/>
      <c r="I208" s="671"/>
      <c r="J208" s="671"/>
      <c r="K208" s="671"/>
      <c r="L208" s="671"/>
      <c r="M208" s="671"/>
      <c r="N208" s="671"/>
      <c r="O208" s="671"/>
      <c r="P208" s="671"/>
      <c r="Q208" s="671"/>
      <c r="R208" s="671"/>
      <c r="S208" s="671"/>
      <c r="T208" s="671"/>
      <c r="U208" s="671"/>
      <c r="V208" s="671"/>
      <c r="W208" s="671"/>
      <c r="X208" s="671"/>
    </row>
    <row r="209" spans="8:24" x14ac:dyDescent="0.35">
      <c r="H209" s="671"/>
      <c r="I209" s="671"/>
      <c r="J209" s="671"/>
      <c r="K209" s="671"/>
      <c r="L209" s="671"/>
      <c r="M209" s="671"/>
      <c r="N209" s="671"/>
      <c r="O209" s="671"/>
      <c r="P209" s="671"/>
      <c r="Q209" s="671"/>
      <c r="R209" s="671"/>
      <c r="S209" s="671"/>
      <c r="T209" s="671"/>
      <c r="U209" s="671"/>
      <c r="V209" s="671"/>
      <c r="W209" s="671"/>
      <c r="X209" s="671"/>
    </row>
    <row r="210" spans="8:24" x14ac:dyDescent="0.35">
      <c r="H210" s="671"/>
      <c r="I210" s="671"/>
      <c r="J210" s="671"/>
      <c r="K210" s="671"/>
      <c r="L210" s="671"/>
      <c r="M210" s="671"/>
      <c r="N210" s="671"/>
      <c r="O210" s="671"/>
      <c r="P210" s="671"/>
      <c r="Q210" s="671"/>
      <c r="R210" s="671"/>
      <c r="S210" s="671"/>
      <c r="T210" s="671"/>
      <c r="U210" s="671"/>
      <c r="V210" s="671"/>
      <c r="W210" s="671"/>
      <c r="X210" s="671"/>
    </row>
    <row r="211" spans="8:24" x14ac:dyDescent="0.35">
      <c r="H211" s="671"/>
      <c r="I211" s="671"/>
      <c r="J211" s="671"/>
      <c r="K211" s="671"/>
      <c r="L211" s="671"/>
      <c r="M211" s="671"/>
      <c r="N211" s="671"/>
      <c r="O211" s="671"/>
      <c r="P211" s="671"/>
      <c r="Q211" s="671"/>
      <c r="R211" s="671"/>
      <c r="S211" s="671"/>
      <c r="T211" s="671"/>
      <c r="U211" s="671"/>
      <c r="V211" s="671"/>
      <c r="W211" s="671"/>
      <c r="X211" s="671"/>
    </row>
    <row r="212" spans="8:24" x14ac:dyDescent="0.35">
      <c r="H212" s="671"/>
      <c r="I212" s="671"/>
      <c r="J212" s="671"/>
      <c r="K212" s="671"/>
      <c r="L212" s="671"/>
      <c r="M212" s="671"/>
      <c r="N212" s="671"/>
      <c r="O212" s="671"/>
      <c r="P212" s="671"/>
      <c r="Q212" s="671"/>
      <c r="R212" s="671"/>
      <c r="S212" s="671"/>
      <c r="T212" s="671"/>
      <c r="U212" s="671"/>
      <c r="V212" s="671"/>
      <c r="W212" s="671"/>
      <c r="X212" s="671"/>
    </row>
    <row r="213" spans="8:24" x14ac:dyDescent="0.35">
      <c r="H213" s="671"/>
      <c r="I213" s="671"/>
      <c r="J213" s="671"/>
      <c r="K213" s="671"/>
      <c r="L213" s="671"/>
      <c r="M213" s="671"/>
      <c r="N213" s="671"/>
      <c r="O213" s="671"/>
      <c r="P213" s="671"/>
      <c r="Q213" s="671"/>
      <c r="R213" s="671"/>
      <c r="S213" s="671"/>
      <c r="T213" s="671"/>
      <c r="U213" s="671"/>
      <c r="V213" s="671"/>
      <c r="W213" s="671"/>
      <c r="X213" s="671"/>
    </row>
    <row r="214" spans="8:24" x14ac:dyDescent="0.35">
      <c r="H214" s="671"/>
      <c r="I214" s="671"/>
      <c r="J214" s="671"/>
      <c r="K214" s="671"/>
      <c r="L214" s="671"/>
      <c r="M214" s="671"/>
      <c r="N214" s="671"/>
      <c r="O214" s="671"/>
      <c r="P214" s="671"/>
      <c r="Q214" s="671"/>
      <c r="R214" s="671"/>
      <c r="S214" s="671"/>
      <c r="T214" s="671"/>
      <c r="U214" s="671"/>
      <c r="V214" s="671"/>
      <c r="W214" s="671"/>
      <c r="X214" s="671"/>
    </row>
    <row r="215" spans="8:24" x14ac:dyDescent="0.35">
      <c r="H215" s="671"/>
      <c r="I215" s="671"/>
      <c r="J215" s="671"/>
      <c r="K215" s="671"/>
      <c r="L215" s="671"/>
      <c r="M215" s="671"/>
      <c r="N215" s="671"/>
      <c r="O215" s="671"/>
      <c r="P215" s="671"/>
      <c r="Q215" s="671"/>
      <c r="R215" s="671"/>
      <c r="S215" s="671"/>
      <c r="T215" s="671"/>
      <c r="U215" s="671"/>
      <c r="V215" s="671"/>
      <c r="W215" s="671"/>
      <c r="X215" s="671"/>
    </row>
    <row r="216" spans="8:24" x14ac:dyDescent="0.35">
      <c r="H216" s="671"/>
      <c r="I216" s="671"/>
      <c r="J216" s="671"/>
      <c r="K216" s="671"/>
      <c r="L216" s="671"/>
      <c r="M216" s="671"/>
      <c r="N216" s="671"/>
      <c r="O216" s="671"/>
      <c r="P216" s="671"/>
      <c r="Q216" s="671"/>
      <c r="R216" s="671"/>
      <c r="S216" s="671"/>
      <c r="T216" s="671"/>
      <c r="U216" s="671"/>
      <c r="V216" s="671"/>
      <c r="W216" s="671"/>
      <c r="X216" s="671"/>
    </row>
    <row r="217" spans="8:24" x14ac:dyDescent="0.35">
      <c r="H217" s="671"/>
      <c r="I217" s="671"/>
      <c r="J217" s="671"/>
      <c r="K217" s="671"/>
      <c r="L217" s="671"/>
      <c r="M217" s="671"/>
      <c r="N217" s="671"/>
      <c r="O217" s="671"/>
      <c r="P217" s="671"/>
      <c r="Q217" s="671"/>
      <c r="R217" s="671"/>
      <c r="S217" s="671"/>
      <c r="T217" s="671"/>
      <c r="U217" s="671"/>
      <c r="V217" s="671"/>
      <c r="W217" s="671"/>
      <c r="X217" s="671"/>
    </row>
    <row r="218" spans="8:24" x14ac:dyDescent="0.35">
      <c r="H218" s="671"/>
      <c r="I218" s="671"/>
      <c r="J218" s="671"/>
      <c r="K218" s="671"/>
      <c r="L218" s="671"/>
      <c r="M218" s="671"/>
      <c r="N218" s="671"/>
      <c r="O218" s="671"/>
      <c r="P218" s="671"/>
      <c r="Q218" s="671"/>
      <c r="R218" s="671"/>
      <c r="S218" s="671"/>
      <c r="T218" s="671"/>
      <c r="U218" s="671"/>
      <c r="V218" s="671"/>
      <c r="W218" s="671"/>
      <c r="X218" s="671"/>
    </row>
    <row r="219" spans="8:24" x14ac:dyDescent="0.35">
      <c r="H219" s="671"/>
      <c r="I219" s="671"/>
      <c r="J219" s="671"/>
      <c r="K219" s="671"/>
      <c r="L219" s="671"/>
      <c r="M219" s="671"/>
      <c r="N219" s="671"/>
      <c r="O219" s="671"/>
      <c r="P219" s="671"/>
      <c r="Q219" s="671"/>
      <c r="R219" s="671"/>
      <c r="S219" s="671"/>
      <c r="T219" s="671"/>
      <c r="U219" s="671"/>
      <c r="V219" s="671"/>
      <c r="W219" s="671"/>
      <c r="X219" s="671"/>
    </row>
    <row r="220" spans="8:24" x14ac:dyDescent="0.35">
      <c r="H220" s="671"/>
      <c r="I220" s="671"/>
      <c r="J220" s="671"/>
      <c r="K220" s="671"/>
      <c r="L220" s="671"/>
      <c r="M220" s="671"/>
      <c r="N220" s="671"/>
      <c r="O220" s="671"/>
      <c r="P220" s="671"/>
      <c r="Q220" s="671"/>
      <c r="R220" s="671"/>
      <c r="S220" s="671"/>
      <c r="T220" s="671"/>
      <c r="U220" s="671"/>
      <c r="V220" s="671"/>
      <c r="W220" s="671"/>
      <c r="X220" s="671"/>
    </row>
    <row r="221" spans="8:24" x14ac:dyDescent="0.35">
      <c r="H221" s="671"/>
      <c r="I221" s="671"/>
      <c r="J221" s="671"/>
      <c r="K221" s="671"/>
      <c r="L221" s="671"/>
      <c r="M221" s="671"/>
      <c r="N221" s="671"/>
      <c r="O221" s="671"/>
      <c r="P221" s="671"/>
      <c r="Q221" s="671"/>
      <c r="R221" s="671"/>
      <c r="S221" s="671"/>
      <c r="T221" s="671"/>
      <c r="U221" s="671"/>
      <c r="V221" s="671"/>
      <c r="W221" s="671"/>
      <c r="X221" s="671"/>
    </row>
    <row r="222" spans="8:24" x14ac:dyDescent="0.35">
      <c r="H222" s="671"/>
      <c r="I222" s="671"/>
      <c r="J222" s="671"/>
      <c r="K222" s="671"/>
      <c r="L222" s="671"/>
      <c r="M222" s="671"/>
      <c r="N222" s="671"/>
      <c r="O222" s="671"/>
      <c r="P222" s="671"/>
      <c r="Q222" s="671"/>
      <c r="R222" s="671"/>
      <c r="S222" s="671"/>
      <c r="T222" s="671"/>
      <c r="U222" s="671"/>
      <c r="V222" s="671"/>
      <c r="W222" s="671"/>
      <c r="X222" s="671"/>
    </row>
    <row r="223" spans="8:24" x14ac:dyDescent="0.35">
      <c r="H223" s="671"/>
      <c r="I223" s="671"/>
      <c r="J223" s="671"/>
      <c r="K223" s="671"/>
      <c r="L223" s="671"/>
      <c r="M223" s="671"/>
      <c r="N223" s="671"/>
      <c r="O223" s="671"/>
      <c r="P223" s="671"/>
      <c r="Q223" s="671"/>
      <c r="R223" s="671"/>
      <c r="S223" s="671"/>
      <c r="T223" s="671"/>
      <c r="U223" s="671"/>
      <c r="V223" s="671"/>
      <c r="W223" s="671"/>
      <c r="X223" s="671"/>
    </row>
    <row r="224" spans="8:24" x14ac:dyDescent="0.35">
      <c r="H224" s="671"/>
      <c r="I224" s="671"/>
      <c r="J224" s="671"/>
      <c r="K224" s="671"/>
      <c r="L224" s="671"/>
      <c r="M224" s="671"/>
      <c r="N224" s="671"/>
      <c r="O224" s="671"/>
      <c r="P224" s="671"/>
      <c r="Q224" s="671"/>
      <c r="R224" s="671"/>
      <c r="S224" s="671"/>
      <c r="T224" s="671"/>
      <c r="U224" s="671"/>
      <c r="V224" s="671"/>
      <c r="W224" s="671"/>
      <c r="X224" s="671"/>
    </row>
    <row r="225" spans="8:24" x14ac:dyDescent="0.35">
      <c r="H225" s="671"/>
      <c r="I225" s="671"/>
      <c r="J225" s="671"/>
      <c r="K225" s="671"/>
      <c r="L225" s="671"/>
      <c r="M225" s="671"/>
      <c r="N225" s="671"/>
      <c r="O225" s="671"/>
      <c r="P225" s="671"/>
      <c r="Q225" s="671"/>
      <c r="R225" s="671"/>
      <c r="S225" s="671"/>
      <c r="T225" s="671"/>
      <c r="U225" s="671"/>
      <c r="V225" s="671"/>
      <c r="W225" s="671"/>
      <c r="X225" s="671"/>
    </row>
    <row r="226" spans="8:24" x14ac:dyDescent="0.35">
      <c r="H226" s="671"/>
      <c r="I226" s="671"/>
      <c r="J226" s="671"/>
      <c r="K226" s="671"/>
      <c r="L226" s="671"/>
      <c r="M226" s="671"/>
      <c r="N226" s="671"/>
      <c r="O226" s="671"/>
      <c r="P226" s="671"/>
      <c r="Q226" s="671"/>
      <c r="R226" s="671"/>
      <c r="S226" s="671"/>
      <c r="T226" s="671"/>
      <c r="U226" s="671"/>
      <c r="V226" s="671"/>
      <c r="W226" s="671"/>
      <c r="X226" s="671"/>
    </row>
    <row r="227" spans="8:24" x14ac:dyDescent="0.35">
      <c r="H227" s="671"/>
      <c r="I227" s="671"/>
      <c r="J227" s="671"/>
      <c r="K227" s="671"/>
      <c r="L227" s="671"/>
      <c r="M227" s="671"/>
      <c r="N227" s="671"/>
      <c r="O227" s="671"/>
      <c r="P227" s="671"/>
      <c r="Q227" s="671"/>
      <c r="R227" s="671"/>
      <c r="S227" s="671"/>
      <c r="T227" s="671"/>
      <c r="U227" s="671"/>
      <c r="V227" s="671"/>
      <c r="W227" s="671"/>
      <c r="X227" s="671"/>
    </row>
    <row r="228" spans="8:24" x14ac:dyDescent="0.35">
      <c r="H228" s="671"/>
      <c r="I228" s="671"/>
      <c r="J228" s="671"/>
      <c r="K228" s="671"/>
      <c r="L228" s="671"/>
      <c r="M228" s="671"/>
      <c r="N228" s="671"/>
      <c r="O228" s="671"/>
      <c r="P228" s="671"/>
      <c r="Q228" s="671"/>
      <c r="R228" s="671"/>
      <c r="S228" s="671"/>
      <c r="T228" s="671"/>
      <c r="U228" s="671"/>
      <c r="V228" s="671"/>
      <c r="W228" s="671"/>
      <c r="X228" s="671"/>
    </row>
    <row r="229" spans="8:24" x14ac:dyDescent="0.35">
      <c r="H229" s="671"/>
      <c r="I229" s="671"/>
      <c r="J229" s="671"/>
      <c r="K229" s="671"/>
      <c r="L229" s="671"/>
      <c r="M229" s="671"/>
      <c r="N229" s="671"/>
      <c r="O229" s="671"/>
      <c r="P229" s="671"/>
      <c r="Q229" s="671"/>
      <c r="R229" s="671"/>
      <c r="S229" s="671"/>
      <c r="T229" s="671"/>
      <c r="U229" s="671"/>
      <c r="V229" s="671"/>
      <c r="W229" s="671"/>
      <c r="X229" s="671"/>
    </row>
    <row r="230" spans="8:24" x14ac:dyDescent="0.35">
      <c r="H230" s="671"/>
      <c r="I230" s="671"/>
      <c r="J230" s="671"/>
      <c r="K230" s="671"/>
      <c r="L230" s="671"/>
      <c r="M230" s="671"/>
      <c r="N230" s="671"/>
      <c r="O230" s="671"/>
      <c r="P230" s="671"/>
      <c r="Q230" s="671"/>
      <c r="R230" s="671"/>
      <c r="S230" s="671"/>
      <c r="T230" s="671"/>
      <c r="U230" s="671"/>
      <c r="V230" s="671"/>
      <c r="W230" s="671"/>
      <c r="X230" s="671"/>
    </row>
    <row r="231" spans="8:24" x14ac:dyDescent="0.35">
      <c r="H231" s="671"/>
      <c r="I231" s="671"/>
      <c r="J231" s="671"/>
      <c r="K231" s="671"/>
      <c r="L231" s="671"/>
      <c r="M231" s="671"/>
      <c r="N231" s="671"/>
      <c r="O231" s="671"/>
      <c r="P231" s="671"/>
      <c r="Q231" s="671"/>
      <c r="R231" s="671"/>
      <c r="S231" s="671"/>
      <c r="T231" s="671"/>
      <c r="U231" s="671"/>
      <c r="V231" s="671"/>
      <c r="W231" s="671"/>
      <c r="X231" s="671"/>
    </row>
    <row r="232" spans="8:24" x14ac:dyDescent="0.35">
      <c r="H232" s="671"/>
      <c r="I232" s="671"/>
      <c r="J232" s="671"/>
      <c r="K232" s="671"/>
      <c r="L232" s="671"/>
      <c r="M232" s="671"/>
      <c r="N232" s="671"/>
      <c r="O232" s="671"/>
      <c r="P232" s="671"/>
      <c r="Q232" s="671"/>
      <c r="R232" s="671"/>
      <c r="S232" s="671"/>
      <c r="T232" s="671"/>
      <c r="U232" s="671"/>
      <c r="V232" s="671"/>
      <c r="W232" s="671"/>
      <c r="X232" s="671"/>
    </row>
    <row r="233" spans="8:24" x14ac:dyDescent="0.35">
      <c r="H233" s="671"/>
      <c r="I233" s="671"/>
      <c r="J233" s="671"/>
      <c r="K233" s="671"/>
      <c r="L233" s="671"/>
      <c r="M233" s="671"/>
      <c r="N233" s="671"/>
      <c r="O233" s="671"/>
      <c r="P233" s="671"/>
      <c r="Q233" s="671"/>
      <c r="R233" s="671"/>
      <c r="S233" s="671"/>
      <c r="T233" s="671"/>
      <c r="U233" s="671"/>
      <c r="V233" s="671"/>
      <c r="W233" s="671"/>
      <c r="X233" s="671"/>
    </row>
    <row r="234" spans="8:24" x14ac:dyDescent="0.35">
      <c r="H234" s="671"/>
      <c r="I234" s="671"/>
      <c r="J234" s="671"/>
      <c r="K234" s="671"/>
      <c r="L234" s="671"/>
      <c r="M234" s="671"/>
      <c r="N234" s="671"/>
      <c r="O234" s="671"/>
      <c r="P234" s="671"/>
      <c r="Q234" s="671"/>
      <c r="R234" s="671"/>
      <c r="S234" s="671"/>
      <c r="T234" s="671"/>
      <c r="U234" s="671"/>
      <c r="V234" s="671"/>
      <c r="W234" s="671"/>
      <c r="X234" s="671"/>
    </row>
    <row r="235" spans="8:24" x14ac:dyDescent="0.35">
      <c r="H235" s="671"/>
      <c r="I235" s="671"/>
      <c r="J235" s="671"/>
      <c r="K235" s="671"/>
      <c r="L235" s="671"/>
      <c r="M235" s="671"/>
      <c r="N235" s="671"/>
      <c r="O235" s="671"/>
      <c r="P235" s="671"/>
      <c r="Q235" s="671"/>
      <c r="R235" s="671"/>
      <c r="S235" s="671"/>
      <c r="T235" s="671"/>
      <c r="U235" s="671"/>
      <c r="V235" s="671"/>
      <c r="W235" s="671"/>
      <c r="X235" s="671"/>
    </row>
    <row r="236" spans="8:24" x14ac:dyDescent="0.35">
      <c r="H236" s="671"/>
      <c r="I236" s="671"/>
      <c r="J236" s="671"/>
      <c r="K236" s="671"/>
      <c r="L236" s="671"/>
      <c r="M236" s="671"/>
      <c r="N236" s="671"/>
      <c r="O236" s="671"/>
      <c r="P236" s="671"/>
      <c r="Q236" s="671"/>
      <c r="R236" s="671"/>
      <c r="S236" s="671"/>
      <c r="T236" s="671"/>
      <c r="U236" s="671"/>
      <c r="V236" s="671"/>
      <c r="W236" s="671"/>
      <c r="X236" s="671"/>
    </row>
    <row r="237" spans="8:24" x14ac:dyDescent="0.35">
      <c r="H237" s="671"/>
      <c r="I237" s="671"/>
      <c r="J237" s="671"/>
      <c r="K237" s="671"/>
      <c r="L237" s="671"/>
      <c r="M237" s="671"/>
      <c r="N237" s="671"/>
      <c r="O237" s="671"/>
      <c r="P237" s="671"/>
      <c r="Q237" s="671"/>
      <c r="R237" s="671"/>
      <c r="S237" s="671"/>
      <c r="T237" s="671"/>
      <c r="U237" s="671"/>
      <c r="V237" s="671"/>
      <c r="W237" s="671"/>
      <c r="X237" s="671"/>
    </row>
    <row r="238" spans="8:24" x14ac:dyDescent="0.35">
      <c r="H238" s="671"/>
      <c r="I238" s="671"/>
      <c r="J238" s="671"/>
      <c r="K238" s="671"/>
      <c r="L238" s="671"/>
      <c r="M238" s="671"/>
      <c r="N238" s="671"/>
      <c r="O238" s="671"/>
      <c r="P238" s="671"/>
      <c r="Q238" s="671"/>
      <c r="R238" s="671"/>
      <c r="S238" s="671"/>
      <c r="T238" s="671"/>
      <c r="U238" s="671"/>
      <c r="V238" s="671"/>
      <c r="W238" s="671"/>
      <c r="X238" s="671"/>
    </row>
    <row r="239" spans="8:24" x14ac:dyDescent="0.35">
      <c r="H239" s="671"/>
      <c r="I239" s="671"/>
      <c r="J239" s="671"/>
      <c r="K239" s="671"/>
      <c r="L239" s="671"/>
      <c r="M239" s="671"/>
      <c r="N239" s="671"/>
      <c r="O239" s="671"/>
      <c r="P239" s="671"/>
      <c r="Q239" s="671"/>
      <c r="R239" s="671"/>
      <c r="S239" s="671"/>
      <c r="T239" s="671"/>
      <c r="U239" s="671"/>
      <c r="V239" s="671"/>
      <c r="W239" s="671"/>
      <c r="X23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3:X239"/>
  <sheetViews>
    <sheetView topLeftCell="A7" workbookViewId="0">
      <selection activeCell="F30" sqref="F30"/>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row>
    <row r="8" spans="3:19" ht="12" customHeight="1" x14ac:dyDescent="0.35"/>
    <row r="9" spans="3:19" ht="15.65" hidden="1" customHeight="1" thickBot="1" x14ac:dyDescent="0.4">
      <c r="C9" s="723" t="s">
        <v>245</v>
      </c>
      <c r="D9" s="725" t="s">
        <v>246</v>
      </c>
      <c r="E9" s="726"/>
      <c r="F9" s="726"/>
      <c r="G9" s="726"/>
      <c r="H9" s="727"/>
      <c r="I9" s="728" t="s">
        <v>247</v>
      </c>
      <c r="K9" s="671"/>
      <c r="L9" s="671"/>
      <c r="M9" s="671"/>
      <c r="N9" s="671"/>
      <c r="O9" s="671"/>
    </row>
    <row r="10" spans="3:19" ht="15" hidden="1"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hidden="1" customHeight="1" x14ac:dyDescent="0.35">
      <c r="C11" s="724"/>
      <c r="D11" s="731" t="s">
        <v>253</v>
      </c>
      <c r="E11" s="732"/>
      <c r="F11" s="732"/>
      <c r="G11" s="732"/>
      <c r="H11" s="728"/>
      <c r="I11" s="730"/>
      <c r="K11" s="671"/>
      <c r="L11" s="671"/>
      <c r="M11" s="671"/>
      <c r="N11" s="671"/>
      <c r="O11" s="671"/>
      <c r="P11" s="671"/>
      <c r="R11">
        <v>30</v>
      </c>
      <c r="S11">
        <f>+D16</f>
        <v>3.0288E-4</v>
      </c>
    </row>
    <row r="12" spans="3:19" ht="21" hidden="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hidden="1"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hidden="1"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hidden="1"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hidden="1"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hidden="1"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f>IF(COTIZADOR!D38="HOMBRE",1,2)</f>
        <v>2</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f ca="1">COTIZADOR!D36</f>
        <v>37</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f>IF(COTIZADOR!D12&lt;250000,100000,1000000)</f>
        <v>100000</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f ca="1">+IF(D21=1,IF(D24=K10,VLOOKUP(D22,'ANEXO No.1'!B11:G76,2),IF('Conyu C'!D24='Conyu C'!L10,VLOOKUP(D22,'ANEXO No.1'!B11:G76,3),IF('Conyu C'!D24='Conyu C'!M10,VLOOKUP(D22,'ANEXO No.1'!B11:G76,4),IF('Conyu C'!D24='Conyu C'!N10,VLOOKUP(D22,'ANEXO No.1'!B11:G76,5),IF('Conyu C'!D24='Conyu C'!O10,VLOOKUP(D22,'ANEXO No.1'!B11:G76,6))))))*D24,IF(D24=K10,VLOOKUP(D22,'ANEXO No.1'!B11:G76,2),IF('Conyu C'!D24='Conyu C'!L10,VLOOKUP(D22,'ANEXO No.1'!B11:G76,3),IF('Conyu C'!D24='Conyu C'!M10,VLOOKUP(D22,'ANEXO No.1'!B11:G76,4),IF('Conyu C'!D24='Conyu C'!N10,VLOOKUP(D22,'ANEXO No.1'!B11:G76,5),IF('Conyu C'!D24='Conyu C'!O10,VLOOKUP(D22,'ANEXO No.1'!B11:G76,6))))))*D24*1.15)</f>
        <v>200.23684999999998</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f ca="1">SUM(E26:E29)</f>
        <v>200.23684999999998</v>
      </c>
      <c r="F30" s="639">
        <f ca="1">E30/(1-0.4)</f>
        <v>333.7280833333333</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f ca="1">+F30</f>
        <v>333.7280833333333</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1" spans="2:24" x14ac:dyDescent="0.35">
      <c r="H61" s="671"/>
      <c r="I61" s="671"/>
      <c r="J61" s="671"/>
      <c r="K61" s="671"/>
      <c r="L61" s="671"/>
      <c r="M61" s="671"/>
      <c r="N61" s="671"/>
      <c r="O61" s="671"/>
      <c r="P61" s="671"/>
      <c r="Q61" s="671"/>
      <c r="R61" s="671"/>
      <c r="S61" s="671"/>
      <c r="T61" s="671"/>
      <c r="U61" s="671"/>
      <c r="V61" s="671"/>
      <c r="W61" s="671"/>
      <c r="X61"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row r="80" spans="8:24" x14ac:dyDescent="0.35">
      <c r="H80" s="671"/>
      <c r="I80" s="671"/>
      <c r="J80" s="671"/>
      <c r="K80" s="671"/>
      <c r="L80" s="671"/>
      <c r="M80" s="671"/>
      <c r="N80" s="671"/>
      <c r="O80" s="671"/>
      <c r="P80" s="671"/>
      <c r="Q80" s="671"/>
      <c r="R80" s="671"/>
      <c r="S80" s="671"/>
      <c r="T80" s="671"/>
      <c r="U80" s="671"/>
      <c r="V80" s="671"/>
      <c r="W80" s="671"/>
      <c r="X80" s="671"/>
    </row>
    <row r="81" spans="8:24" x14ac:dyDescent="0.35">
      <c r="H81" s="671"/>
      <c r="I81" s="671"/>
      <c r="J81" s="671"/>
      <c r="K81" s="671"/>
      <c r="L81" s="671"/>
      <c r="M81" s="671"/>
      <c r="N81" s="671"/>
      <c r="O81" s="671"/>
      <c r="P81" s="671"/>
      <c r="Q81" s="671"/>
      <c r="R81" s="671"/>
      <c r="S81" s="671"/>
      <c r="T81" s="671"/>
      <c r="U81" s="671"/>
      <c r="V81" s="671"/>
      <c r="W81" s="671"/>
      <c r="X81" s="671"/>
    </row>
    <row r="82" spans="8:24" x14ac:dyDescent="0.35">
      <c r="H82" s="671"/>
      <c r="I82" s="671"/>
      <c r="J82" s="671"/>
      <c r="K82" s="671"/>
      <c r="L82" s="671"/>
      <c r="M82" s="671"/>
      <c r="N82" s="671"/>
      <c r="O82" s="671"/>
      <c r="P82" s="671"/>
      <c r="Q82" s="671"/>
      <c r="R82" s="671"/>
      <c r="S82" s="671"/>
      <c r="T82" s="671"/>
      <c r="U82" s="671"/>
      <c r="V82" s="671"/>
      <c r="W82" s="671"/>
      <c r="X82" s="671"/>
    </row>
    <row r="83" spans="8:24" x14ac:dyDescent="0.35">
      <c r="H83" s="671"/>
      <c r="I83" s="671"/>
      <c r="J83" s="671"/>
      <c r="K83" s="671"/>
      <c r="L83" s="671"/>
      <c r="M83" s="671"/>
      <c r="N83" s="671"/>
      <c r="O83" s="671"/>
      <c r="P83" s="671"/>
      <c r="Q83" s="671"/>
      <c r="R83" s="671"/>
      <c r="S83" s="671"/>
      <c r="T83" s="671"/>
      <c r="U83" s="671"/>
      <c r="V83" s="671"/>
      <c r="W83" s="671"/>
      <c r="X83" s="671"/>
    </row>
    <row r="84" spans="8:24" x14ac:dyDescent="0.35">
      <c r="H84" s="671"/>
      <c r="I84" s="671"/>
      <c r="J84" s="671"/>
      <c r="K84" s="671"/>
      <c r="L84" s="671"/>
      <c r="M84" s="671"/>
      <c r="N84" s="671"/>
      <c r="O84" s="671"/>
      <c r="P84" s="671"/>
      <c r="Q84" s="671"/>
      <c r="R84" s="671"/>
      <c r="S84" s="671"/>
      <c r="T84" s="671"/>
      <c r="U84" s="671"/>
      <c r="V84" s="671"/>
      <c r="W84" s="671"/>
      <c r="X84" s="671"/>
    </row>
    <row r="85" spans="8:24" x14ac:dyDescent="0.35">
      <c r="H85" s="671"/>
      <c r="I85" s="671"/>
      <c r="J85" s="671"/>
      <c r="K85" s="671"/>
      <c r="L85" s="671"/>
      <c r="M85" s="671"/>
      <c r="N85" s="671"/>
      <c r="O85" s="671"/>
      <c r="P85" s="671"/>
      <c r="Q85" s="671"/>
      <c r="R85" s="671"/>
      <c r="S85" s="671"/>
      <c r="T85" s="671"/>
      <c r="U85" s="671"/>
      <c r="V85" s="671"/>
      <c r="W85" s="671"/>
      <c r="X85" s="671"/>
    </row>
    <row r="86" spans="8:24" x14ac:dyDescent="0.35">
      <c r="H86" s="671"/>
      <c r="I86" s="671"/>
      <c r="J86" s="671"/>
      <c r="K86" s="671"/>
      <c r="L86" s="671"/>
      <c r="M86" s="671"/>
      <c r="N86" s="671"/>
      <c r="O86" s="671"/>
      <c r="P86" s="671"/>
      <c r="Q86" s="671"/>
      <c r="R86" s="671"/>
      <c r="S86" s="671"/>
      <c r="T86" s="671"/>
      <c r="U86" s="671"/>
      <c r="V86" s="671"/>
      <c r="W86" s="671"/>
      <c r="X86" s="671"/>
    </row>
    <row r="87" spans="8:24" x14ac:dyDescent="0.35">
      <c r="H87" s="671"/>
      <c r="I87" s="671"/>
      <c r="J87" s="671"/>
      <c r="K87" s="671"/>
      <c r="L87" s="671"/>
      <c r="M87" s="671"/>
      <c r="N87" s="671"/>
      <c r="O87" s="671"/>
      <c r="P87" s="671"/>
      <c r="Q87" s="671"/>
      <c r="R87" s="671"/>
      <c r="S87" s="671"/>
      <c r="T87" s="671"/>
      <c r="U87" s="671"/>
      <c r="V87" s="671"/>
      <c r="W87" s="671"/>
      <c r="X87" s="671"/>
    </row>
    <row r="88" spans="8:24" x14ac:dyDescent="0.35">
      <c r="H88" s="671"/>
      <c r="I88" s="671"/>
      <c r="J88" s="671"/>
      <c r="K88" s="671"/>
      <c r="L88" s="671"/>
      <c r="M88" s="671"/>
      <c r="N88" s="671"/>
      <c r="O88" s="671"/>
      <c r="P88" s="671"/>
      <c r="Q88" s="671"/>
      <c r="R88" s="671"/>
      <c r="S88" s="671"/>
      <c r="T88" s="671"/>
      <c r="U88" s="671"/>
      <c r="V88" s="671"/>
      <c r="W88" s="671"/>
      <c r="X88" s="671"/>
    </row>
    <row r="89" spans="8:24" x14ac:dyDescent="0.35">
      <c r="H89" s="671"/>
      <c r="I89" s="671"/>
      <c r="J89" s="671"/>
      <c r="K89" s="671"/>
      <c r="L89" s="671"/>
      <c r="M89" s="671"/>
      <c r="N89" s="671"/>
      <c r="O89" s="671"/>
      <c r="P89" s="671"/>
      <c r="Q89" s="671"/>
      <c r="R89" s="671"/>
      <c r="S89" s="671"/>
      <c r="T89" s="671"/>
      <c r="U89" s="671"/>
      <c r="V89" s="671"/>
      <c r="W89" s="671"/>
      <c r="X89" s="671"/>
    </row>
    <row r="90" spans="8:24" x14ac:dyDescent="0.35">
      <c r="H90" s="671"/>
      <c r="I90" s="671"/>
      <c r="J90" s="671"/>
      <c r="K90" s="671"/>
      <c r="L90" s="671"/>
      <c r="M90" s="671"/>
      <c r="N90" s="671"/>
      <c r="O90" s="671"/>
      <c r="P90" s="671"/>
      <c r="Q90" s="671"/>
      <c r="R90" s="671"/>
      <c r="S90" s="671"/>
      <c r="T90" s="671"/>
      <c r="U90" s="671"/>
      <c r="V90" s="671"/>
      <c r="W90" s="671"/>
      <c r="X90" s="671"/>
    </row>
    <row r="91" spans="8:24" x14ac:dyDescent="0.35">
      <c r="H91" s="671"/>
      <c r="I91" s="671"/>
      <c r="J91" s="671"/>
      <c r="K91" s="671"/>
      <c r="L91" s="671"/>
      <c r="M91" s="671"/>
      <c r="N91" s="671"/>
      <c r="O91" s="671"/>
      <c r="P91" s="671"/>
      <c r="Q91" s="671"/>
      <c r="R91" s="671"/>
      <c r="S91" s="671"/>
      <c r="T91" s="671"/>
      <c r="U91" s="671"/>
      <c r="V91" s="671"/>
      <c r="W91" s="671"/>
      <c r="X91" s="671"/>
    </row>
    <row r="92" spans="8:24" x14ac:dyDescent="0.35">
      <c r="H92" s="671"/>
      <c r="I92" s="671"/>
      <c r="J92" s="671"/>
      <c r="K92" s="671"/>
      <c r="L92" s="671"/>
      <c r="M92" s="671"/>
      <c r="N92" s="671"/>
      <c r="O92" s="671"/>
      <c r="P92" s="671"/>
      <c r="Q92" s="671"/>
      <c r="R92" s="671"/>
      <c r="S92" s="671"/>
      <c r="T92" s="671"/>
      <c r="U92" s="671"/>
      <c r="V92" s="671"/>
      <c r="W92" s="671"/>
      <c r="X92" s="671"/>
    </row>
    <row r="93" spans="8:24" x14ac:dyDescent="0.35">
      <c r="H93" s="671"/>
      <c r="I93" s="671"/>
      <c r="J93" s="671"/>
      <c r="K93" s="671"/>
      <c r="L93" s="671"/>
      <c r="M93" s="671"/>
      <c r="N93" s="671"/>
      <c r="O93" s="671"/>
      <c r="P93" s="671"/>
      <c r="Q93" s="671"/>
      <c r="R93" s="671"/>
      <c r="S93" s="671"/>
      <c r="T93" s="671"/>
      <c r="U93" s="671"/>
      <c r="V93" s="671"/>
      <c r="W93" s="671"/>
      <c r="X93" s="671"/>
    </row>
    <row r="94" spans="8:24" x14ac:dyDescent="0.35">
      <c r="H94" s="671"/>
      <c r="I94" s="671"/>
      <c r="J94" s="671"/>
      <c r="K94" s="671"/>
      <c r="L94" s="671"/>
      <c r="M94" s="671"/>
      <c r="N94" s="671"/>
      <c r="O94" s="671"/>
      <c r="P94" s="671"/>
      <c r="Q94" s="671"/>
      <c r="R94" s="671"/>
      <c r="S94" s="671"/>
      <c r="T94" s="671"/>
      <c r="U94" s="671"/>
      <c r="V94" s="671"/>
      <c r="W94" s="671"/>
      <c r="X94" s="671"/>
    </row>
    <row r="95" spans="8:24" x14ac:dyDescent="0.35">
      <c r="H95" s="671"/>
      <c r="I95" s="671"/>
      <c r="J95" s="671"/>
      <c r="K95" s="671"/>
      <c r="L95" s="671"/>
      <c r="M95" s="671"/>
      <c r="N95" s="671"/>
      <c r="O95" s="671"/>
      <c r="P95" s="671"/>
      <c r="Q95" s="671"/>
      <c r="R95" s="671"/>
      <c r="S95" s="671"/>
      <c r="T95" s="671"/>
      <c r="U95" s="671"/>
      <c r="V95" s="671"/>
      <c r="W95" s="671"/>
      <c r="X95" s="671"/>
    </row>
    <row r="96" spans="8:24" x14ac:dyDescent="0.35">
      <c r="H96" s="671"/>
      <c r="I96" s="671"/>
      <c r="J96" s="671"/>
      <c r="K96" s="671"/>
      <c r="L96" s="671"/>
      <c r="M96" s="671"/>
      <c r="N96" s="671"/>
      <c r="O96" s="671"/>
      <c r="P96" s="671"/>
      <c r="Q96" s="671"/>
      <c r="R96" s="671"/>
      <c r="S96" s="671"/>
      <c r="T96" s="671"/>
      <c r="U96" s="671"/>
      <c r="V96" s="671"/>
      <c r="W96" s="671"/>
      <c r="X96" s="671"/>
    </row>
    <row r="97" spans="8:24" x14ac:dyDescent="0.35">
      <c r="H97" s="671"/>
      <c r="I97" s="671"/>
      <c r="J97" s="671"/>
      <c r="K97" s="671"/>
      <c r="L97" s="671"/>
      <c r="M97" s="671"/>
      <c r="N97" s="671"/>
      <c r="O97" s="671"/>
      <c r="P97" s="671"/>
      <c r="Q97" s="671"/>
      <c r="R97" s="671"/>
      <c r="S97" s="671"/>
      <c r="T97" s="671"/>
      <c r="U97" s="671"/>
      <c r="V97" s="671"/>
      <c r="W97" s="671"/>
      <c r="X97" s="671"/>
    </row>
    <row r="98" spans="8:24" x14ac:dyDescent="0.35">
      <c r="H98" s="671"/>
      <c r="I98" s="671"/>
      <c r="J98" s="671"/>
      <c r="K98" s="671"/>
      <c r="L98" s="671"/>
      <c r="M98" s="671"/>
      <c r="N98" s="671"/>
      <c r="O98" s="671"/>
      <c r="P98" s="671"/>
      <c r="Q98" s="671"/>
      <c r="R98" s="671"/>
      <c r="S98" s="671"/>
      <c r="T98" s="671"/>
      <c r="U98" s="671"/>
      <c r="V98" s="671"/>
      <c r="W98" s="671"/>
      <c r="X98" s="671"/>
    </row>
    <row r="99" spans="8:24" x14ac:dyDescent="0.35">
      <c r="H99" s="671"/>
      <c r="I99" s="671"/>
      <c r="J99" s="671"/>
      <c r="K99" s="671"/>
      <c r="L99" s="671"/>
      <c r="M99" s="671"/>
      <c r="N99" s="671"/>
      <c r="O99" s="671"/>
      <c r="P99" s="671"/>
      <c r="Q99" s="671"/>
      <c r="R99" s="671"/>
      <c r="S99" s="671"/>
      <c r="T99" s="671"/>
      <c r="U99" s="671"/>
      <c r="V99" s="671"/>
      <c r="W99" s="671"/>
      <c r="X99" s="671"/>
    </row>
    <row r="100" spans="8:24" x14ac:dyDescent="0.35">
      <c r="H100" s="671"/>
      <c r="I100" s="671"/>
      <c r="J100" s="671"/>
      <c r="K100" s="671"/>
      <c r="L100" s="671"/>
      <c r="M100" s="671"/>
      <c r="N100" s="671"/>
      <c r="O100" s="671"/>
      <c r="P100" s="671"/>
      <c r="Q100" s="671"/>
      <c r="R100" s="671"/>
      <c r="S100" s="671"/>
      <c r="T100" s="671"/>
      <c r="U100" s="671"/>
      <c r="V100" s="671"/>
      <c r="W100" s="671"/>
      <c r="X100" s="671"/>
    </row>
    <row r="101" spans="8:24" x14ac:dyDescent="0.35">
      <c r="H101" s="671"/>
      <c r="I101" s="671"/>
      <c r="J101" s="671"/>
      <c r="K101" s="671"/>
      <c r="L101" s="671"/>
      <c r="M101" s="671"/>
      <c r="N101" s="671"/>
      <c r="O101" s="671"/>
      <c r="P101" s="671"/>
      <c r="Q101" s="671"/>
      <c r="R101" s="671"/>
      <c r="S101" s="671"/>
      <c r="T101" s="671"/>
      <c r="U101" s="671"/>
      <c r="V101" s="671"/>
      <c r="W101" s="671"/>
      <c r="X101" s="671"/>
    </row>
    <row r="102" spans="8:24" x14ac:dyDescent="0.35">
      <c r="H102" s="671"/>
      <c r="I102" s="671"/>
      <c r="J102" s="671"/>
      <c r="K102" s="671"/>
      <c r="L102" s="671"/>
      <c r="M102" s="671"/>
      <c r="N102" s="671"/>
      <c r="O102" s="671"/>
      <c r="P102" s="671"/>
      <c r="Q102" s="671"/>
      <c r="R102" s="671"/>
      <c r="S102" s="671"/>
      <c r="T102" s="671"/>
      <c r="U102" s="671"/>
      <c r="V102" s="671"/>
      <c r="W102" s="671"/>
      <c r="X102" s="671"/>
    </row>
    <row r="103" spans="8:24" x14ac:dyDescent="0.35">
      <c r="H103" s="671"/>
      <c r="I103" s="671"/>
      <c r="J103" s="671"/>
      <c r="K103" s="671"/>
      <c r="L103" s="671"/>
      <c r="M103" s="671"/>
      <c r="N103" s="671"/>
      <c r="O103" s="671"/>
      <c r="P103" s="671"/>
      <c r="Q103" s="671"/>
      <c r="R103" s="671"/>
      <c r="S103" s="671"/>
      <c r="T103" s="671"/>
      <c r="U103" s="671"/>
      <c r="V103" s="671"/>
      <c r="W103" s="671"/>
      <c r="X103" s="671"/>
    </row>
    <row r="104" spans="8:24" x14ac:dyDescent="0.35">
      <c r="H104" s="671"/>
      <c r="I104" s="671"/>
      <c r="J104" s="671"/>
      <c r="K104" s="671"/>
      <c r="L104" s="671"/>
      <c r="M104" s="671"/>
      <c r="N104" s="671"/>
      <c r="O104" s="671"/>
      <c r="P104" s="671"/>
      <c r="Q104" s="671"/>
      <c r="R104" s="671"/>
      <c r="S104" s="671"/>
      <c r="T104" s="671"/>
      <c r="U104" s="671"/>
      <c r="V104" s="671"/>
      <c r="W104" s="671"/>
      <c r="X104" s="671"/>
    </row>
    <row r="105" spans="8:24" x14ac:dyDescent="0.35">
      <c r="H105" s="671"/>
      <c r="I105" s="671"/>
      <c r="J105" s="671"/>
      <c r="K105" s="671"/>
      <c r="L105" s="671"/>
      <c r="M105" s="671"/>
      <c r="N105" s="671"/>
      <c r="O105" s="671"/>
      <c r="P105" s="671"/>
      <c r="Q105" s="671"/>
      <c r="R105" s="671"/>
      <c r="S105" s="671"/>
      <c r="T105" s="671"/>
      <c r="U105" s="671"/>
      <c r="V105" s="671"/>
      <c r="W105" s="671"/>
      <c r="X105" s="671"/>
    </row>
    <row r="106" spans="8:24" x14ac:dyDescent="0.35">
      <c r="H106" s="671"/>
      <c r="I106" s="671"/>
      <c r="J106" s="671"/>
      <c r="K106" s="671"/>
      <c r="L106" s="671"/>
      <c r="M106" s="671"/>
      <c r="N106" s="671"/>
      <c r="O106" s="671"/>
      <c r="P106" s="671"/>
      <c r="Q106" s="671"/>
      <c r="R106" s="671"/>
      <c r="S106" s="671"/>
      <c r="T106" s="671"/>
      <c r="U106" s="671"/>
      <c r="V106" s="671"/>
      <c r="W106" s="671"/>
      <c r="X106" s="671"/>
    </row>
    <row r="107" spans="8:24" x14ac:dyDescent="0.35">
      <c r="H107" s="671"/>
      <c r="I107" s="671"/>
      <c r="J107" s="671"/>
      <c r="K107" s="671"/>
      <c r="L107" s="671"/>
      <c r="M107" s="671"/>
      <c r="N107" s="671"/>
      <c r="O107" s="671"/>
      <c r="P107" s="671"/>
      <c r="Q107" s="671"/>
      <c r="R107" s="671"/>
      <c r="S107" s="671"/>
      <c r="T107" s="671"/>
      <c r="U107" s="671"/>
      <c r="V107" s="671"/>
      <c r="W107" s="671"/>
      <c r="X107" s="671"/>
    </row>
    <row r="108" spans="8:24" x14ac:dyDescent="0.35">
      <c r="H108" s="671"/>
      <c r="I108" s="671"/>
      <c r="J108" s="671"/>
      <c r="K108" s="671"/>
      <c r="L108" s="671"/>
      <c r="M108" s="671"/>
      <c r="N108" s="671"/>
      <c r="O108" s="671"/>
      <c r="P108" s="671"/>
      <c r="Q108" s="671"/>
      <c r="R108" s="671"/>
      <c r="S108" s="671"/>
      <c r="T108" s="671"/>
      <c r="U108" s="671"/>
      <c r="V108" s="671"/>
      <c r="W108" s="671"/>
      <c r="X108" s="671"/>
    </row>
    <row r="109" spans="8:24" x14ac:dyDescent="0.35">
      <c r="H109" s="671"/>
      <c r="I109" s="671"/>
      <c r="J109" s="671"/>
      <c r="K109" s="671"/>
      <c r="L109" s="671"/>
      <c r="M109" s="671"/>
      <c r="N109" s="671"/>
      <c r="O109" s="671"/>
      <c r="P109" s="671"/>
      <c r="Q109" s="671"/>
      <c r="R109" s="671"/>
      <c r="S109" s="671"/>
      <c r="T109" s="671"/>
      <c r="U109" s="671"/>
      <c r="V109" s="671"/>
      <c r="W109" s="671"/>
      <c r="X109" s="671"/>
    </row>
    <row r="110" spans="8:24" x14ac:dyDescent="0.35">
      <c r="H110" s="671"/>
      <c r="I110" s="671"/>
      <c r="J110" s="671"/>
      <c r="K110" s="671"/>
      <c r="L110" s="671"/>
      <c r="M110" s="671"/>
      <c r="N110" s="671"/>
      <c r="O110" s="671"/>
      <c r="P110" s="671"/>
      <c r="Q110" s="671"/>
      <c r="R110" s="671"/>
      <c r="S110" s="671"/>
      <c r="T110" s="671"/>
      <c r="U110" s="671"/>
      <c r="V110" s="671"/>
      <c r="W110" s="671"/>
      <c r="X110" s="671"/>
    </row>
    <row r="111" spans="8:24" x14ac:dyDescent="0.35">
      <c r="H111" s="671"/>
      <c r="I111" s="671"/>
      <c r="J111" s="671"/>
      <c r="K111" s="671"/>
      <c r="L111" s="671"/>
      <c r="M111" s="671"/>
      <c r="N111" s="671"/>
      <c r="O111" s="671"/>
      <c r="P111" s="671"/>
      <c r="Q111" s="671"/>
      <c r="R111" s="671"/>
      <c r="S111" s="671"/>
      <c r="T111" s="671"/>
      <c r="U111" s="671"/>
      <c r="V111" s="671"/>
      <c r="W111" s="671"/>
      <c r="X111" s="671"/>
    </row>
    <row r="112" spans="8:24" x14ac:dyDescent="0.35">
      <c r="H112" s="671"/>
      <c r="I112" s="671"/>
      <c r="J112" s="671"/>
      <c r="K112" s="671"/>
      <c r="L112" s="671"/>
      <c r="M112" s="671"/>
      <c r="N112" s="671"/>
      <c r="O112" s="671"/>
      <c r="P112" s="671"/>
      <c r="Q112" s="671"/>
      <c r="R112" s="671"/>
      <c r="S112" s="671"/>
      <c r="T112" s="671"/>
      <c r="U112" s="671"/>
      <c r="V112" s="671"/>
      <c r="W112" s="671"/>
      <c r="X112" s="671"/>
    </row>
    <row r="113" spans="8:24" x14ac:dyDescent="0.35">
      <c r="H113" s="671"/>
      <c r="I113" s="671"/>
      <c r="J113" s="671"/>
      <c r="K113" s="671"/>
      <c r="L113" s="671"/>
      <c r="M113" s="671"/>
      <c r="N113" s="671"/>
      <c r="O113" s="671"/>
      <c r="P113" s="671"/>
      <c r="Q113" s="671"/>
      <c r="R113" s="671"/>
      <c r="S113" s="671"/>
      <c r="T113" s="671"/>
      <c r="U113" s="671"/>
      <c r="V113" s="671"/>
      <c r="W113" s="671"/>
      <c r="X113" s="671"/>
    </row>
    <row r="114" spans="8:24" x14ac:dyDescent="0.35">
      <c r="H114" s="671"/>
      <c r="I114" s="671"/>
      <c r="J114" s="671"/>
      <c r="K114" s="671"/>
      <c r="L114" s="671"/>
      <c r="M114" s="671"/>
      <c r="N114" s="671"/>
      <c r="O114" s="671"/>
      <c r="P114" s="671"/>
      <c r="Q114" s="671"/>
      <c r="R114" s="671"/>
      <c r="S114" s="671"/>
      <c r="T114" s="671"/>
      <c r="U114" s="671"/>
      <c r="V114" s="671"/>
      <c r="W114" s="671"/>
      <c r="X114" s="671"/>
    </row>
    <row r="115" spans="8:24" x14ac:dyDescent="0.35">
      <c r="H115" s="671"/>
      <c r="I115" s="671"/>
      <c r="J115" s="671"/>
      <c r="K115" s="671"/>
      <c r="L115" s="671"/>
      <c r="M115" s="671"/>
      <c r="N115" s="671"/>
      <c r="O115" s="671"/>
      <c r="P115" s="671"/>
      <c r="Q115" s="671"/>
      <c r="R115" s="671"/>
      <c r="S115" s="671"/>
      <c r="T115" s="671"/>
      <c r="U115" s="671"/>
      <c r="V115" s="671"/>
      <c r="W115" s="671"/>
      <c r="X115" s="671"/>
    </row>
    <row r="116" spans="8:24" x14ac:dyDescent="0.35">
      <c r="H116" s="671"/>
      <c r="I116" s="671"/>
      <c r="J116" s="671"/>
      <c r="K116" s="671"/>
      <c r="L116" s="671"/>
      <c r="M116" s="671"/>
      <c r="N116" s="671"/>
      <c r="O116" s="671"/>
      <c r="P116" s="671"/>
      <c r="Q116" s="671"/>
      <c r="R116" s="671"/>
      <c r="S116" s="671"/>
      <c r="T116" s="671"/>
      <c r="U116" s="671"/>
      <c r="V116" s="671"/>
      <c r="W116" s="671"/>
      <c r="X116" s="671"/>
    </row>
    <row r="117" spans="8:24" x14ac:dyDescent="0.35">
      <c r="H117" s="671"/>
      <c r="I117" s="671"/>
      <c r="J117" s="671"/>
      <c r="K117" s="671"/>
      <c r="L117" s="671"/>
      <c r="M117" s="671"/>
      <c r="N117" s="671"/>
      <c r="O117" s="671"/>
      <c r="P117" s="671"/>
      <c r="Q117" s="671"/>
      <c r="R117" s="671"/>
      <c r="S117" s="671"/>
      <c r="T117" s="671"/>
      <c r="U117" s="671"/>
      <c r="V117" s="671"/>
      <c r="W117" s="671"/>
      <c r="X117" s="671"/>
    </row>
    <row r="118" spans="8:24" x14ac:dyDescent="0.35">
      <c r="H118" s="671"/>
      <c r="I118" s="671"/>
      <c r="J118" s="671"/>
      <c r="K118" s="671"/>
      <c r="L118" s="671"/>
      <c r="M118" s="671"/>
      <c r="N118" s="671"/>
      <c r="O118" s="671"/>
      <c r="P118" s="671"/>
      <c r="Q118" s="671"/>
      <c r="R118" s="671"/>
      <c r="S118" s="671"/>
      <c r="T118" s="671"/>
      <c r="U118" s="671"/>
      <c r="V118" s="671"/>
      <c r="W118" s="671"/>
      <c r="X118" s="671"/>
    </row>
    <row r="119" spans="8:24" x14ac:dyDescent="0.35">
      <c r="H119" s="671"/>
      <c r="I119" s="671"/>
      <c r="J119" s="671"/>
      <c r="K119" s="671"/>
      <c r="L119" s="671"/>
      <c r="M119" s="671"/>
      <c r="N119" s="671"/>
      <c r="O119" s="671"/>
      <c r="P119" s="671"/>
      <c r="Q119" s="671"/>
      <c r="R119" s="671"/>
      <c r="S119" s="671"/>
      <c r="T119" s="671"/>
      <c r="U119" s="671"/>
      <c r="V119" s="671"/>
      <c r="W119" s="671"/>
      <c r="X119" s="671"/>
    </row>
    <row r="120" spans="8:24" x14ac:dyDescent="0.35">
      <c r="H120" s="671"/>
      <c r="I120" s="671"/>
      <c r="J120" s="671"/>
      <c r="K120" s="671"/>
      <c r="L120" s="671"/>
      <c r="M120" s="671"/>
      <c r="N120" s="671"/>
      <c r="O120" s="671"/>
      <c r="P120" s="671"/>
      <c r="Q120" s="671"/>
      <c r="R120" s="671"/>
      <c r="S120" s="671"/>
      <c r="T120" s="671"/>
      <c r="U120" s="671"/>
      <c r="V120" s="671"/>
      <c r="W120" s="671"/>
      <c r="X120" s="671"/>
    </row>
    <row r="121" spans="8:24" x14ac:dyDescent="0.35">
      <c r="H121" s="671"/>
      <c r="I121" s="671"/>
      <c r="J121" s="671"/>
      <c r="K121" s="671"/>
      <c r="L121" s="671"/>
      <c r="M121" s="671"/>
      <c r="N121" s="671"/>
      <c r="O121" s="671"/>
      <c r="P121" s="671"/>
      <c r="Q121" s="671"/>
      <c r="R121" s="671"/>
      <c r="S121" s="671"/>
      <c r="T121" s="671"/>
      <c r="U121" s="671"/>
      <c r="V121" s="671"/>
      <c r="W121" s="671"/>
      <c r="X121" s="671"/>
    </row>
    <row r="122" spans="8:24" x14ac:dyDescent="0.35">
      <c r="H122" s="671"/>
      <c r="I122" s="671"/>
      <c r="J122" s="671"/>
      <c r="K122" s="671"/>
      <c r="L122" s="671"/>
      <c r="M122" s="671"/>
      <c r="N122" s="671"/>
      <c r="O122" s="671"/>
      <c r="P122" s="671"/>
      <c r="Q122" s="671"/>
      <c r="R122" s="671"/>
      <c r="S122" s="671"/>
      <c r="T122" s="671"/>
      <c r="U122" s="671"/>
      <c r="V122" s="671"/>
      <c r="W122" s="671"/>
      <c r="X122" s="671"/>
    </row>
    <row r="123" spans="8:24" x14ac:dyDescent="0.35">
      <c r="H123" s="671"/>
      <c r="I123" s="671"/>
      <c r="J123" s="671"/>
      <c r="K123" s="671"/>
      <c r="L123" s="671"/>
      <c r="M123" s="671"/>
      <c r="N123" s="671"/>
      <c r="O123" s="671"/>
      <c r="P123" s="671"/>
      <c r="Q123" s="671"/>
      <c r="R123" s="671"/>
      <c r="S123" s="671"/>
      <c r="T123" s="671"/>
      <c r="U123" s="671"/>
      <c r="V123" s="671"/>
      <c r="W123" s="671"/>
      <c r="X123" s="671"/>
    </row>
    <row r="124" spans="8:24" x14ac:dyDescent="0.35">
      <c r="H124" s="671"/>
      <c r="I124" s="671"/>
      <c r="J124" s="671"/>
      <c r="K124" s="671"/>
      <c r="L124" s="671"/>
      <c r="M124" s="671"/>
      <c r="N124" s="671"/>
      <c r="O124" s="671"/>
      <c r="P124" s="671"/>
      <c r="Q124" s="671"/>
      <c r="R124" s="671"/>
      <c r="S124" s="671"/>
      <c r="T124" s="671"/>
      <c r="U124" s="671"/>
      <c r="V124" s="671"/>
      <c r="W124" s="671"/>
      <c r="X124" s="671"/>
    </row>
    <row r="125" spans="8:24" x14ac:dyDescent="0.35">
      <c r="H125" s="671"/>
      <c r="I125" s="671"/>
      <c r="J125" s="671"/>
      <c r="K125" s="671"/>
      <c r="L125" s="671"/>
      <c r="M125" s="671"/>
      <c r="N125" s="671"/>
      <c r="O125" s="671"/>
      <c r="P125" s="671"/>
      <c r="Q125" s="671"/>
      <c r="R125" s="671"/>
      <c r="S125" s="671"/>
      <c r="T125" s="671"/>
      <c r="U125" s="671"/>
      <c r="V125" s="671"/>
      <c r="W125" s="671"/>
      <c r="X125" s="671"/>
    </row>
    <row r="126" spans="8:24" x14ac:dyDescent="0.35">
      <c r="H126" s="671"/>
      <c r="I126" s="671"/>
      <c r="J126" s="671"/>
      <c r="K126" s="671"/>
      <c r="L126" s="671"/>
      <c r="M126" s="671"/>
      <c r="N126" s="671"/>
      <c r="O126" s="671"/>
      <c r="P126" s="671"/>
      <c r="Q126" s="671"/>
      <c r="R126" s="671"/>
      <c r="S126" s="671"/>
      <c r="T126" s="671"/>
      <c r="U126" s="671"/>
      <c r="V126" s="671"/>
      <c r="W126" s="671"/>
      <c r="X126" s="671"/>
    </row>
    <row r="127" spans="8:24" x14ac:dyDescent="0.35">
      <c r="H127" s="671"/>
      <c r="I127" s="671"/>
      <c r="J127" s="671"/>
      <c r="K127" s="671"/>
      <c r="L127" s="671"/>
      <c r="M127" s="671"/>
      <c r="N127" s="671"/>
      <c r="O127" s="671"/>
      <c r="P127" s="671"/>
      <c r="Q127" s="671"/>
      <c r="R127" s="671"/>
      <c r="S127" s="671"/>
      <c r="T127" s="671"/>
      <c r="U127" s="671"/>
      <c r="V127" s="671"/>
      <c r="W127" s="671"/>
      <c r="X127" s="671"/>
    </row>
    <row r="128" spans="8:24" x14ac:dyDescent="0.35">
      <c r="H128" s="671"/>
      <c r="I128" s="671"/>
      <c r="J128" s="671"/>
      <c r="K128" s="671"/>
      <c r="L128" s="671"/>
      <c r="M128" s="671"/>
      <c r="N128" s="671"/>
      <c r="O128" s="671"/>
      <c r="P128" s="671"/>
      <c r="Q128" s="671"/>
      <c r="R128" s="671"/>
      <c r="S128" s="671"/>
      <c r="T128" s="671"/>
      <c r="U128" s="671"/>
      <c r="V128" s="671"/>
      <c r="W128" s="671"/>
      <c r="X128" s="671"/>
    </row>
    <row r="129" spans="8:24" x14ac:dyDescent="0.35">
      <c r="H129" s="671"/>
      <c r="I129" s="671"/>
      <c r="J129" s="671"/>
      <c r="K129" s="671"/>
      <c r="L129" s="671"/>
      <c r="M129" s="671"/>
      <c r="N129" s="671"/>
      <c r="O129" s="671"/>
      <c r="P129" s="671"/>
      <c r="Q129" s="671"/>
      <c r="R129" s="671"/>
      <c r="S129" s="671"/>
      <c r="T129" s="671"/>
      <c r="U129" s="671"/>
      <c r="V129" s="671"/>
      <c r="W129" s="671"/>
      <c r="X129" s="671"/>
    </row>
    <row r="130" spans="8:24" x14ac:dyDescent="0.35">
      <c r="H130" s="671"/>
      <c r="I130" s="671"/>
      <c r="J130" s="671"/>
      <c r="K130" s="671"/>
      <c r="L130" s="671"/>
      <c r="M130" s="671"/>
      <c r="N130" s="671"/>
      <c r="O130" s="671"/>
      <c r="P130" s="671"/>
      <c r="Q130" s="671"/>
      <c r="R130" s="671"/>
      <c r="S130" s="671"/>
      <c r="T130" s="671"/>
      <c r="U130" s="671"/>
      <c r="V130" s="671"/>
      <c r="W130" s="671"/>
      <c r="X130" s="671"/>
    </row>
    <row r="131" spans="8:24" x14ac:dyDescent="0.35">
      <c r="H131" s="671"/>
      <c r="I131" s="671"/>
      <c r="J131" s="671"/>
      <c r="K131" s="671"/>
      <c r="L131" s="671"/>
      <c r="M131" s="671"/>
      <c r="N131" s="671"/>
      <c r="O131" s="671"/>
      <c r="P131" s="671"/>
      <c r="Q131" s="671"/>
      <c r="R131" s="671"/>
      <c r="S131" s="671"/>
      <c r="T131" s="671"/>
      <c r="U131" s="671"/>
      <c r="V131" s="671"/>
      <c r="W131" s="671"/>
      <c r="X131" s="671"/>
    </row>
    <row r="132" spans="8:24" x14ac:dyDescent="0.35">
      <c r="H132" s="671"/>
      <c r="I132" s="671"/>
      <c r="J132" s="671"/>
      <c r="K132" s="671"/>
      <c r="L132" s="671"/>
      <c r="M132" s="671"/>
      <c r="N132" s="671"/>
      <c r="O132" s="671"/>
      <c r="P132" s="671"/>
      <c r="Q132" s="671"/>
      <c r="R132" s="671"/>
      <c r="S132" s="671"/>
      <c r="T132" s="671"/>
      <c r="U132" s="671"/>
      <c r="V132" s="671"/>
      <c r="W132" s="671"/>
      <c r="X132" s="671"/>
    </row>
    <row r="133" spans="8:24" x14ac:dyDescent="0.35">
      <c r="H133" s="671"/>
      <c r="I133" s="671"/>
      <c r="J133" s="671"/>
      <c r="K133" s="671"/>
      <c r="L133" s="671"/>
      <c r="M133" s="671"/>
      <c r="N133" s="671"/>
      <c r="O133" s="671"/>
      <c r="P133" s="671"/>
      <c r="Q133" s="671"/>
      <c r="R133" s="671"/>
      <c r="S133" s="671"/>
      <c r="T133" s="671"/>
      <c r="U133" s="671"/>
      <c r="V133" s="671"/>
      <c r="W133" s="671"/>
      <c r="X133" s="671"/>
    </row>
    <row r="134" spans="8:24" x14ac:dyDescent="0.35">
      <c r="H134" s="671"/>
      <c r="I134" s="671"/>
      <c r="J134" s="671"/>
      <c r="K134" s="671"/>
      <c r="L134" s="671"/>
      <c r="M134" s="671"/>
      <c r="N134" s="671"/>
      <c r="O134" s="671"/>
      <c r="P134" s="671"/>
      <c r="Q134" s="671"/>
      <c r="R134" s="671"/>
      <c r="S134" s="671"/>
      <c r="T134" s="671"/>
      <c r="U134" s="671"/>
      <c r="V134" s="671"/>
      <c r="W134" s="671"/>
      <c r="X134" s="671"/>
    </row>
    <row r="135" spans="8:24" x14ac:dyDescent="0.35">
      <c r="H135" s="671"/>
      <c r="I135" s="671"/>
      <c r="J135" s="671"/>
      <c r="K135" s="671"/>
      <c r="L135" s="671"/>
      <c r="M135" s="671"/>
      <c r="N135" s="671"/>
      <c r="O135" s="671"/>
      <c r="P135" s="671"/>
      <c r="Q135" s="671"/>
      <c r="R135" s="671"/>
      <c r="S135" s="671"/>
      <c r="T135" s="671"/>
      <c r="U135" s="671"/>
      <c r="V135" s="671"/>
      <c r="W135" s="671"/>
      <c r="X135" s="671"/>
    </row>
    <row r="136" spans="8:24" x14ac:dyDescent="0.35">
      <c r="H136" s="671"/>
      <c r="I136" s="671"/>
      <c r="J136" s="671"/>
      <c r="K136" s="671"/>
      <c r="L136" s="671"/>
      <c r="M136" s="671"/>
      <c r="N136" s="671"/>
      <c r="O136" s="671"/>
      <c r="P136" s="671"/>
      <c r="Q136" s="671"/>
      <c r="R136" s="671"/>
      <c r="S136" s="671"/>
      <c r="T136" s="671"/>
      <c r="U136" s="671"/>
      <c r="V136" s="671"/>
      <c r="W136" s="671"/>
      <c r="X136" s="671"/>
    </row>
    <row r="137" spans="8:24" x14ac:dyDescent="0.35">
      <c r="H137" s="671"/>
      <c r="I137" s="671"/>
      <c r="J137" s="671"/>
      <c r="K137" s="671"/>
      <c r="L137" s="671"/>
      <c r="M137" s="671"/>
      <c r="N137" s="671"/>
      <c r="O137" s="671"/>
      <c r="P137" s="671"/>
      <c r="Q137" s="671"/>
      <c r="R137" s="671"/>
      <c r="S137" s="671"/>
      <c r="T137" s="671"/>
      <c r="U137" s="671"/>
      <c r="V137" s="671"/>
      <c r="W137" s="671"/>
      <c r="X137" s="671"/>
    </row>
    <row r="138" spans="8:24" x14ac:dyDescent="0.35">
      <c r="H138" s="671"/>
      <c r="I138" s="671"/>
      <c r="J138" s="671"/>
      <c r="K138" s="671"/>
      <c r="L138" s="671"/>
      <c r="M138" s="671"/>
      <c r="N138" s="671"/>
      <c r="O138" s="671"/>
      <c r="P138" s="671"/>
      <c r="Q138" s="671"/>
      <c r="R138" s="671"/>
      <c r="S138" s="671"/>
      <c r="T138" s="671"/>
      <c r="U138" s="671"/>
      <c r="V138" s="671"/>
      <c r="W138" s="671"/>
      <c r="X138" s="671"/>
    </row>
    <row r="139" spans="8:24" x14ac:dyDescent="0.35">
      <c r="H139" s="671"/>
      <c r="I139" s="671"/>
      <c r="J139" s="671"/>
      <c r="K139" s="671"/>
      <c r="L139" s="671"/>
      <c r="M139" s="671"/>
      <c r="N139" s="671"/>
      <c r="O139" s="671"/>
      <c r="P139" s="671"/>
      <c r="Q139" s="671"/>
      <c r="R139" s="671"/>
      <c r="S139" s="671"/>
      <c r="T139" s="671"/>
      <c r="U139" s="671"/>
      <c r="V139" s="671"/>
      <c r="W139" s="671"/>
      <c r="X139" s="671"/>
    </row>
    <row r="140" spans="8:24" x14ac:dyDescent="0.35">
      <c r="H140" s="671"/>
      <c r="I140" s="671"/>
      <c r="J140" s="671"/>
      <c r="K140" s="671"/>
      <c r="L140" s="671"/>
      <c r="M140" s="671"/>
      <c r="N140" s="671"/>
      <c r="O140" s="671"/>
      <c r="P140" s="671"/>
      <c r="Q140" s="671"/>
      <c r="R140" s="671"/>
      <c r="S140" s="671"/>
      <c r="T140" s="671"/>
      <c r="U140" s="671"/>
      <c r="V140" s="671"/>
      <c r="W140" s="671"/>
      <c r="X140" s="671"/>
    </row>
    <row r="141" spans="8:24" x14ac:dyDescent="0.35">
      <c r="H141" s="671"/>
      <c r="I141" s="671"/>
      <c r="J141" s="671"/>
      <c r="K141" s="671"/>
      <c r="L141" s="671"/>
      <c r="M141" s="671"/>
      <c r="N141" s="671"/>
      <c r="O141" s="671"/>
      <c r="P141" s="671"/>
      <c r="Q141" s="671"/>
      <c r="R141" s="671"/>
      <c r="S141" s="671"/>
      <c r="T141" s="671"/>
      <c r="U141" s="671"/>
      <c r="V141" s="671"/>
      <c r="W141" s="671"/>
      <c r="X141" s="671"/>
    </row>
    <row r="142" spans="8:24" x14ac:dyDescent="0.35">
      <c r="H142" s="671"/>
      <c r="I142" s="671"/>
      <c r="J142" s="671"/>
      <c r="K142" s="671"/>
      <c r="L142" s="671"/>
      <c r="M142" s="671"/>
      <c r="N142" s="671"/>
      <c r="O142" s="671"/>
      <c r="P142" s="671"/>
      <c r="Q142" s="671"/>
      <c r="R142" s="671"/>
      <c r="S142" s="671"/>
      <c r="T142" s="671"/>
      <c r="U142" s="671"/>
      <c r="V142" s="671"/>
      <c r="W142" s="671"/>
      <c r="X142" s="671"/>
    </row>
    <row r="143" spans="8:24" x14ac:dyDescent="0.35">
      <c r="H143" s="671"/>
      <c r="I143" s="671"/>
      <c r="J143" s="671"/>
      <c r="K143" s="671"/>
      <c r="L143" s="671"/>
      <c r="M143" s="671"/>
      <c r="N143" s="671"/>
      <c r="O143" s="671"/>
      <c r="P143" s="671"/>
      <c r="Q143" s="671"/>
      <c r="R143" s="671"/>
      <c r="S143" s="671"/>
      <c r="T143" s="671"/>
      <c r="U143" s="671"/>
      <c r="V143" s="671"/>
      <c r="W143" s="671"/>
      <c r="X143" s="671"/>
    </row>
    <row r="144" spans="8:24" x14ac:dyDescent="0.35">
      <c r="H144" s="671"/>
      <c r="I144" s="671"/>
      <c r="J144" s="671"/>
      <c r="K144" s="671"/>
      <c r="L144" s="671"/>
      <c r="M144" s="671"/>
      <c r="N144" s="671"/>
      <c r="O144" s="671"/>
      <c r="P144" s="671"/>
      <c r="Q144" s="671"/>
      <c r="R144" s="671"/>
      <c r="S144" s="671"/>
      <c r="T144" s="671"/>
      <c r="U144" s="671"/>
      <c r="V144" s="671"/>
      <c r="W144" s="671"/>
      <c r="X144" s="671"/>
    </row>
    <row r="145" spans="8:24" x14ac:dyDescent="0.35">
      <c r="H145" s="671"/>
      <c r="I145" s="671"/>
      <c r="J145" s="671"/>
      <c r="K145" s="671"/>
      <c r="L145" s="671"/>
      <c r="M145" s="671"/>
      <c r="N145" s="671"/>
      <c r="O145" s="671"/>
      <c r="P145" s="671"/>
      <c r="Q145" s="671"/>
      <c r="R145" s="671"/>
      <c r="S145" s="671"/>
      <c r="T145" s="671"/>
      <c r="U145" s="671"/>
      <c r="V145" s="671"/>
      <c r="W145" s="671"/>
      <c r="X145" s="671"/>
    </row>
    <row r="146" spans="8:24" x14ac:dyDescent="0.35">
      <c r="H146" s="671"/>
      <c r="I146" s="671"/>
      <c r="J146" s="671"/>
      <c r="K146" s="671"/>
      <c r="L146" s="671"/>
      <c r="M146" s="671"/>
      <c r="N146" s="671"/>
      <c r="O146" s="671"/>
      <c r="P146" s="671"/>
      <c r="Q146" s="671"/>
      <c r="R146" s="671"/>
      <c r="S146" s="671"/>
      <c r="T146" s="671"/>
      <c r="U146" s="671"/>
      <c r="V146" s="671"/>
      <c r="W146" s="671"/>
      <c r="X146" s="671"/>
    </row>
    <row r="147" spans="8:24" x14ac:dyDescent="0.35">
      <c r="H147" s="671"/>
      <c r="I147" s="671"/>
      <c r="J147" s="671"/>
      <c r="K147" s="671"/>
      <c r="L147" s="671"/>
      <c r="M147" s="671"/>
      <c r="N147" s="671"/>
      <c r="O147" s="671"/>
      <c r="P147" s="671"/>
      <c r="Q147" s="671"/>
      <c r="R147" s="671"/>
      <c r="S147" s="671"/>
      <c r="T147" s="671"/>
      <c r="U147" s="671"/>
      <c r="V147" s="671"/>
      <c r="W147" s="671"/>
      <c r="X147" s="671"/>
    </row>
    <row r="148" spans="8:24" x14ac:dyDescent="0.35">
      <c r="H148" s="671"/>
      <c r="I148" s="671"/>
      <c r="J148" s="671"/>
      <c r="K148" s="671"/>
      <c r="L148" s="671"/>
      <c r="M148" s="671"/>
      <c r="N148" s="671"/>
      <c r="O148" s="671"/>
      <c r="P148" s="671"/>
      <c r="Q148" s="671"/>
      <c r="R148" s="671"/>
      <c r="S148" s="671"/>
      <c r="T148" s="671"/>
      <c r="U148" s="671"/>
      <c r="V148" s="671"/>
      <c r="W148" s="671"/>
      <c r="X148" s="671"/>
    </row>
    <row r="149" spans="8:24" x14ac:dyDescent="0.35">
      <c r="H149" s="671"/>
      <c r="I149" s="671"/>
      <c r="J149" s="671"/>
      <c r="K149" s="671"/>
      <c r="L149" s="671"/>
      <c r="M149" s="671"/>
      <c r="N149" s="671"/>
      <c r="O149" s="671"/>
      <c r="P149" s="671"/>
      <c r="Q149" s="671"/>
      <c r="R149" s="671"/>
      <c r="S149" s="671"/>
      <c r="T149" s="671"/>
      <c r="U149" s="671"/>
      <c r="V149" s="671"/>
      <c r="W149" s="671"/>
      <c r="X149" s="671"/>
    </row>
    <row r="150" spans="8:24" x14ac:dyDescent="0.35">
      <c r="H150" s="671"/>
      <c r="I150" s="671"/>
      <c r="J150" s="671"/>
      <c r="K150" s="671"/>
      <c r="L150" s="671"/>
      <c r="M150" s="671"/>
      <c r="N150" s="671"/>
      <c r="O150" s="671"/>
      <c r="P150" s="671"/>
      <c r="Q150" s="671"/>
      <c r="R150" s="671"/>
      <c r="S150" s="671"/>
      <c r="T150" s="671"/>
      <c r="U150" s="671"/>
      <c r="V150" s="671"/>
      <c r="W150" s="671"/>
      <c r="X150" s="671"/>
    </row>
    <row r="151" spans="8:24" x14ac:dyDescent="0.35">
      <c r="H151" s="671"/>
      <c r="I151" s="671"/>
      <c r="J151" s="671"/>
      <c r="K151" s="671"/>
      <c r="L151" s="671"/>
      <c r="M151" s="671"/>
      <c r="N151" s="671"/>
      <c r="O151" s="671"/>
      <c r="P151" s="671"/>
      <c r="Q151" s="671"/>
      <c r="R151" s="671"/>
      <c r="S151" s="671"/>
      <c r="T151" s="671"/>
      <c r="U151" s="671"/>
      <c r="V151" s="671"/>
      <c r="W151" s="671"/>
      <c r="X151" s="671"/>
    </row>
    <row r="152" spans="8:24" x14ac:dyDescent="0.35">
      <c r="H152" s="671"/>
      <c r="I152" s="671"/>
      <c r="J152" s="671"/>
      <c r="K152" s="671"/>
      <c r="L152" s="671"/>
      <c r="M152" s="671"/>
      <c r="N152" s="671"/>
      <c r="O152" s="671"/>
      <c r="P152" s="671"/>
      <c r="Q152" s="671"/>
      <c r="R152" s="671"/>
      <c r="S152" s="671"/>
      <c r="T152" s="671"/>
      <c r="U152" s="671"/>
      <c r="V152" s="671"/>
      <c r="W152" s="671"/>
      <c r="X152" s="671"/>
    </row>
    <row r="153" spans="8:24" x14ac:dyDescent="0.35">
      <c r="H153" s="671"/>
      <c r="I153" s="671"/>
      <c r="J153" s="671"/>
      <c r="K153" s="671"/>
      <c r="L153" s="671"/>
      <c r="M153" s="671"/>
      <c r="N153" s="671"/>
      <c r="O153" s="671"/>
      <c r="P153" s="671"/>
      <c r="Q153" s="671"/>
      <c r="R153" s="671"/>
      <c r="S153" s="671"/>
      <c r="T153" s="671"/>
      <c r="U153" s="671"/>
      <c r="V153" s="671"/>
      <c r="W153" s="671"/>
      <c r="X153" s="671"/>
    </row>
    <row r="154" spans="8:24" x14ac:dyDescent="0.35">
      <c r="H154" s="671"/>
      <c r="I154" s="671"/>
      <c r="J154" s="671"/>
      <c r="K154" s="671"/>
      <c r="L154" s="671"/>
      <c r="M154" s="671"/>
      <c r="N154" s="671"/>
      <c r="O154" s="671"/>
      <c r="P154" s="671"/>
      <c r="Q154" s="671"/>
      <c r="R154" s="671"/>
      <c r="S154" s="671"/>
      <c r="T154" s="671"/>
      <c r="U154" s="671"/>
      <c r="V154" s="671"/>
      <c r="W154" s="671"/>
      <c r="X154" s="671"/>
    </row>
    <row r="155" spans="8:24" x14ac:dyDescent="0.35">
      <c r="H155" s="671"/>
      <c r="I155" s="671"/>
      <c r="J155" s="671"/>
      <c r="K155" s="671"/>
      <c r="L155" s="671"/>
      <c r="M155" s="671"/>
      <c r="N155" s="671"/>
      <c r="O155" s="671"/>
      <c r="P155" s="671"/>
      <c r="Q155" s="671"/>
      <c r="R155" s="671"/>
      <c r="S155" s="671"/>
      <c r="T155" s="671"/>
      <c r="U155" s="671"/>
      <c r="V155" s="671"/>
      <c r="W155" s="671"/>
      <c r="X155" s="671"/>
    </row>
    <row r="156" spans="8:24" x14ac:dyDescent="0.35">
      <c r="H156" s="671"/>
      <c r="I156" s="671"/>
      <c r="J156" s="671"/>
      <c r="K156" s="671"/>
      <c r="L156" s="671"/>
      <c r="M156" s="671"/>
      <c r="N156" s="671"/>
      <c r="O156" s="671"/>
      <c r="P156" s="671"/>
      <c r="Q156" s="671"/>
      <c r="R156" s="671"/>
      <c r="S156" s="671"/>
      <c r="T156" s="671"/>
      <c r="U156" s="671"/>
      <c r="V156" s="671"/>
      <c r="W156" s="671"/>
      <c r="X156" s="671"/>
    </row>
    <row r="157" spans="8:24" x14ac:dyDescent="0.35">
      <c r="H157" s="671"/>
      <c r="I157" s="671"/>
      <c r="J157" s="671"/>
      <c r="K157" s="671"/>
      <c r="L157" s="671"/>
      <c r="M157" s="671"/>
      <c r="N157" s="671"/>
      <c r="O157" s="671"/>
      <c r="P157" s="671"/>
      <c r="Q157" s="671"/>
      <c r="R157" s="671"/>
      <c r="S157" s="671"/>
      <c r="T157" s="671"/>
      <c r="U157" s="671"/>
      <c r="V157" s="671"/>
      <c r="W157" s="671"/>
      <c r="X157" s="671"/>
    </row>
    <row r="158" spans="8:24" x14ac:dyDescent="0.35">
      <c r="H158" s="671"/>
      <c r="I158" s="671"/>
      <c r="J158" s="671"/>
      <c r="K158" s="671"/>
      <c r="L158" s="671"/>
      <c r="M158" s="671"/>
      <c r="N158" s="671"/>
      <c r="O158" s="671"/>
      <c r="P158" s="671"/>
      <c r="Q158" s="671"/>
      <c r="R158" s="671"/>
      <c r="S158" s="671"/>
      <c r="T158" s="671"/>
      <c r="U158" s="671"/>
      <c r="V158" s="671"/>
      <c r="W158" s="671"/>
      <c r="X158" s="671"/>
    </row>
    <row r="159" spans="8:24" x14ac:dyDescent="0.35">
      <c r="H159" s="671"/>
      <c r="I159" s="671"/>
      <c r="J159" s="671"/>
      <c r="K159" s="671"/>
      <c r="L159" s="671"/>
      <c r="M159" s="671"/>
      <c r="N159" s="671"/>
      <c r="O159" s="671"/>
      <c r="P159" s="671"/>
      <c r="Q159" s="671"/>
      <c r="R159" s="671"/>
      <c r="S159" s="671"/>
      <c r="T159" s="671"/>
      <c r="U159" s="671"/>
      <c r="V159" s="671"/>
      <c r="W159" s="671"/>
      <c r="X159" s="671"/>
    </row>
    <row r="160" spans="8:24" x14ac:dyDescent="0.35">
      <c r="H160" s="671"/>
      <c r="I160" s="671"/>
      <c r="J160" s="671"/>
      <c r="K160" s="671"/>
      <c r="L160" s="671"/>
      <c r="M160" s="671"/>
      <c r="N160" s="671"/>
      <c r="O160" s="671"/>
      <c r="P160" s="671"/>
      <c r="Q160" s="671"/>
      <c r="R160" s="671"/>
      <c r="S160" s="671"/>
      <c r="T160" s="671"/>
      <c r="U160" s="671"/>
      <c r="V160" s="671"/>
      <c r="W160" s="671"/>
      <c r="X160" s="671"/>
    </row>
    <row r="161" spans="8:24" x14ac:dyDescent="0.35">
      <c r="H161" s="671"/>
      <c r="I161" s="671"/>
      <c r="J161" s="671"/>
      <c r="K161" s="671"/>
      <c r="L161" s="671"/>
      <c r="M161" s="671"/>
      <c r="N161" s="671"/>
      <c r="O161" s="671"/>
      <c r="P161" s="671"/>
      <c r="Q161" s="671"/>
      <c r="R161" s="671"/>
      <c r="S161" s="671"/>
      <c r="T161" s="671"/>
      <c r="U161" s="671"/>
      <c r="V161" s="671"/>
      <c r="W161" s="671"/>
      <c r="X161" s="671"/>
    </row>
    <row r="162" spans="8:24" x14ac:dyDescent="0.35">
      <c r="H162" s="671"/>
      <c r="I162" s="671"/>
      <c r="J162" s="671"/>
      <c r="K162" s="671"/>
      <c r="L162" s="671"/>
      <c r="M162" s="671"/>
      <c r="N162" s="671"/>
      <c r="O162" s="671"/>
      <c r="P162" s="671"/>
      <c r="Q162" s="671"/>
      <c r="R162" s="671"/>
      <c r="S162" s="671"/>
      <c r="T162" s="671"/>
      <c r="U162" s="671"/>
      <c r="V162" s="671"/>
      <c r="W162" s="671"/>
      <c r="X162" s="671"/>
    </row>
    <row r="163" spans="8:24" x14ac:dyDescent="0.35">
      <c r="H163" s="671"/>
      <c r="I163" s="671"/>
      <c r="J163" s="671"/>
      <c r="K163" s="671"/>
      <c r="L163" s="671"/>
      <c r="M163" s="671"/>
      <c r="N163" s="671"/>
      <c r="O163" s="671"/>
      <c r="P163" s="671"/>
      <c r="Q163" s="671"/>
      <c r="R163" s="671"/>
      <c r="S163" s="671"/>
      <c r="T163" s="671"/>
      <c r="U163" s="671"/>
      <c r="V163" s="671"/>
      <c r="W163" s="671"/>
      <c r="X163" s="671"/>
    </row>
    <row r="164" spans="8:24" x14ac:dyDescent="0.35">
      <c r="H164" s="671"/>
      <c r="I164" s="671"/>
      <c r="J164" s="671"/>
      <c r="K164" s="671"/>
      <c r="L164" s="671"/>
      <c r="M164" s="671"/>
      <c r="N164" s="671"/>
      <c r="O164" s="671"/>
      <c r="P164" s="671"/>
      <c r="Q164" s="671"/>
      <c r="R164" s="671"/>
      <c r="S164" s="671"/>
      <c r="T164" s="671"/>
      <c r="U164" s="671"/>
      <c r="V164" s="671"/>
      <c r="W164" s="671"/>
      <c r="X164" s="671"/>
    </row>
    <row r="165" spans="8:24" x14ac:dyDescent="0.35">
      <c r="H165" s="671"/>
      <c r="I165" s="671"/>
      <c r="J165" s="671"/>
      <c r="K165" s="671"/>
      <c r="L165" s="671"/>
      <c r="M165" s="671"/>
      <c r="N165" s="671"/>
      <c r="O165" s="671"/>
      <c r="P165" s="671"/>
      <c r="Q165" s="671"/>
      <c r="R165" s="671"/>
      <c r="S165" s="671"/>
      <c r="T165" s="671"/>
      <c r="U165" s="671"/>
      <c r="V165" s="671"/>
      <c r="W165" s="671"/>
      <c r="X165" s="671"/>
    </row>
    <row r="166" spans="8:24" x14ac:dyDescent="0.35">
      <c r="H166" s="671"/>
      <c r="I166" s="671"/>
      <c r="J166" s="671"/>
      <c r="K166" s="671"/>
      <c r="L166" s="671"/>
      <c r="M166" s="671"/>
      <c r="N166" s="671"/>
      <c r="O166" s="671"/>
      <c r="P166" s="671"/>
      <c r="Q166" s="671"/>
      <c r="R166" s="671"/>
      <c r="S166" s="671"/>
      <c r="T166" s="671"/>
      <c r="U166" s="671"/>
      <c r="V166" s="671"/>
      <c r="W166" s="671"/>
      <c r="X166" s="671"/>
    </row>
    <row r="167" spans="8:24" x14ac:dyDescent="0.35">
      <c r="H167" s="671"/>
      <c r="I167" s="671"/>
      <c r="J167" s="671"/>
      <c r="K167" s="671"/>
      <c r="L167" s="671"/>
      <c r="M167" s="671"/>
      <c r="N167" s="671"/>
      <c r="O167" s="671"/>
      <c r="P167" s="671"/>
      <c r="Q167" s="671"/>
      <c r="R167" s="671"/>
      <c r="S167" s="671"/>
      <c r="T167" s="671"/>
      <c r="U167" s="671"/>
      <c r="V167" s="671"/>
      <c r="W167" s="671"/>
      <c r="X167" s="671"/>
    </row>
    <row r="168" spans="8:24" x14ac:dyDescent="0.35">
      <c r="H168" s="671"/>
      <c r="I168" s="671"/>
      <c r="J168" s="671"/>
      <c r="K168" s="671"/>
      <c r="L168" s="671"/>
      <c r="M168" s="671"/>
      <c r="N168" s="671"/>
      <c r="O168" s="671"/>
      <c r="P168" s="671"/>
      <c r="Q168" s="671"/>
      <c r="R168" s="671"/>
      <c r="S168" s="671"/>
      <c r="T168" s="671"/>
      <c r="U168" s="671"/>
      <c r="V168" s="671"/>
      <c r="W168" s="671"/>
      <c r="X168" s="671"/>
    </row>
    <row r="169" spans="8:24" x14ac:dyDescent="0.35">
      <c r="H169" s="671"/>
      <c r="I169" s="671"/>
      <c r="J169" s="671"/>
      <c r="K169" s="671"/>
      <c r="L169" s="671"/>
      <c r="M169" s="671"/>
      <c r="N169" s="671"/>
      <c r="O169" s="671"/>
      <c r="P169" s="671"/>
      <c r="Q169" s="671"/>
      <c r="R169" s="671"/>
      <c r="S169" s="671"/>
      <c r="T169" s="671"/>
      <c r="U169" s="671"/>
      <c r="V169" s="671"/>
      <c r="W169" s="671"/>
      <c r="X169" s="671"/>
    </row>
    <row r="170" spans="8:24" x14ac:dyDescent="0.35">
      <c r="H170" s="671"/>
      <c r="I170" s="671"/>
      <c r="J170" s="671"/>
      <c r="K170" s="671"/>
      <c r="L170" s="671"/>
      <c r="M170" s="671"/>
      <c r="N170" s="671"/>
      <c r="O170" s="671"/>
      <c r="P170" s="671"/>
      <c r="Q170" s="671"/>
      <c r="R170" s="671"/>
      <c r="S170" s="671"/>
      <c r="T170" s="671"/>
      <c r="U170" s="671"/>
      <c r="V170" s="671"/>
      <c r="W170" s="671"/>
      <c r="X170" s="671"/>
    </row>
    <row r="171" spans="8:24" x14ac:dyDescent="0.35">
      <c r="H171" s="671"/>
      <c r="I171" s="671"/>
      <c r="J171" s="671"/>
      <c r="K171" s="671"/>
      <c r="L171" s="671"/>
      <c r="M171" s="671"/>
      <c r="N171" s="671"/>
      <c r="O171" s="671"/>
      <c r="P171" s="671"/>
      <c r="Q171" s="671"/>
      <c r="R171" s="671"/>
      <c r="S171" s="671"/>
      <c r="T171" s="671"/>
      <c r="U171" s="671"/>
      <c r="V171" s="671"/>
      <c r="W171" s="671"/>
      <c r="X171" s="671"/>
    </row>
    <row r="172" spans="8:24" x14ac:dyDescent="0.35">
      <c r="H172" s="671"/>
      <c r="I172" s="671"/>
      <c r="J172" s="671"/>
      <c r="K172" s="671"/>
      <c r="L172" s="671"/>
      <c r="M172" s="671"/>
      <c r="N172" s="671"/>
      <c r="O172" s="671"/>
      <c r="P172" s="671"/>
      <c r="Q172" s="671"/>
      <c r="R172" s="671"/>
      <c r="S172" s="671"/>
      <c r="T172" s="671"/>
      <c r="U172" s="671"/>
      <c r="V172" s="671"/>
      <c r="W172" s="671"/>
      <c r="X172" s="671"/>
    </row>
    <row r="173" spans="8:24" x14ac:dyDescent="0.35">
      <c r="H173" s="671"/>
      <c r="I173" s="671"/>
      <c r="J173" s="671"/>
      <c r="K173" s="671"/>
      <c r="L173" s="671"/>
      <c r="M173" s="671"/>
      <c r="N173" s="671"/>
      <c r="O173" s="671"/>
      <c r="P173" s="671"/>
      <c r="Q173" s="671"/>
      <c r="R173" s="671"/>
      <c r="S173" s="671"/>
      <c r="T173" s="671"/>
      <c r="U173" s="671"/>
      <c r="V173" s="671"/>
      <c r="W173" s="671"/>
      <c r="X173" s="671"/>
    </row>
    <row r="174" spans="8:24" x14ac:dyDescent="0.35">
      <c r="H174" s="671"/>
      <c r="I174" s="671"/>
      <c r="J174" s="671"/>
      <c r="K174" s="671"/>
      <c r="L174" s="671"/>
      <c r="M174" s="671"/>
      <c r="N174" s="671"/>
      <c r="O174" s="671"/>
      <c r="P174" s="671"/>
      <c r="Q174" s="671"/>
      <c r="R174" s="671"/>
      <c r="S174" s="671"/>
      <c r="T174" s="671"/>
      <c r="U174" s="671"/>
      <c r="V174" s="671"/>
      <c r="W174" s="671"/>
      <c r="X174" s="671"/>
    </row>
    <row r="175" spans="8:24" x14ac:dyDescent="0.35">
      <c r="H175" s="671"/>
      <c r="I175" s="671"/>
      <c r="J175" s="671"/>
      <c r="K175" s="671"/>
      <c r="L175" s="671"/>
      <c r="M175" s="671"/>
      <c r="N175" s="671"/>
      <c r="O175" s="671"/>
      <c r="P175" s="671"/>
      <c r="Q175" s="671"/>
      <c r="R175" s="671"/>
      <c r="S175" s="671"/>
      <c r="T175" s="671"/>
      <c r="U175" s="671"/>
      <c r="V175" s="671"/>
      <c r="W175" s="671"/>
      <c r="X175" s="671"/>
    </row>
    <row r="176" spans="8:24" x14ac:dyDescent="0.35">
      <c r="H176" s="671"/>
      <c r="I176" s="671"/>
      <c r="J176" s="671"/>
      <c r="K176" s="671"/>
      <c r="L176" s="671"/>
      <c r="M176" s="671"/>
      <c r="N176" s="671"/>
      <c r="O176" s="671"/>
      <c r="P176" s="671"/>
      <c r="Q176" s="671"/>
      <c r="R176" s="671"/>
      <c r="S176" s="671"/>
      <c r="T176" s="671"/>
      <c r="U176" s="671"/>
      <c r="V176" s="671"/>
      <c r="W176" s="671"/>
      <c r="X176" s="671"/>
    </row>
    <row r="177" spans="8:24" x14ac:dyDescent="0.35">
      <c r="H177" s="671"/>
      <c r="I177" s="671"/>
      <c r="J177" s="671"/>
      <c r="K177" s="671"/>
      <c r="L177" s="671"/>
      <c r="M177" s="671"/>
      <c r="N177" s="671"/>
      <c r="O177" s="671"/>
      <c r="P177" s="671"/>
      <c r="Q177" s="671"/>
      <c r="R177" s="671"/>
      <c r="S177" s="671"/>
      <c r="T177" s="671"/>
      <c r="U177" s="671"/>
      <c r="V177" s="671"/>
      <c r="W177" s="671"/>
      <c r="X177" s="671"/>
    </row>
    <row r="178" spans="8:24" x14ac:dyDescent="0.35">
      <c r="H178" s="671"/>
      <c r="I178" s="671"/>
      <c r="J178" s="671"/>
      <c r="K178" s="671"/>
      <c r="L178" s="671"/>
      <c r="M178" s="671"/>
      <c r="N178" s="671"/>
      <c r="O178" s="671"/>
      <c r="P178" s="671"/>
      <c r="Q178" s="671"/>
      <c r="R178" s="671"/>
      <c r="S178" s="671"/>
      <c r="T178" s="671"/>
      <c r="U178" s="671"/>
      <c r="V178" s="671"/>
      <c r="W178" s="671"/>
      <c r="X178" s="671"/>
    </row>
    <row r="179" spans="8:24" x14ac:dyDescent="0.35">
      <c r="H179" s="671"/>
      <c r="I179" s="671"/>
      <c r="J179" s="671"/>
      <c r="K179" s="671"/>
      <c r="L179" s="671"/>
      <c r="M179" s="671"/>
      <c r="N179" s="671"/>
      <c r="O179" s="671"/>
      <c r="P179" s="671"/>
      <c r="Q179" s="671"/>
      <c r="R179" s="671"/>
      <c r="S179" s="671"/>
      <c r="T179" s="671"/>
      <c r="U179" s="671"/>
      <c r="V179" s="671"/>
      <c r="W179" s="671"/>
      <c r="X179" s="671"/>
    </row>
    <row r="180" spans="8:24" x14ac:dyDescent="0.35">
      <c r="H180" s="671"/>
      <c r="I180" s="671"/>
      <c r="J180" s="671"/>
      <c r="K180" s="671"/>
      <c r="L180" s="671"/>
      <c r="M180" s="671"/>
      <c r="N180" s="671"/>
      <c r="O180" s="671"/>
      <c r="P180" s="671"/>
      <c r="Q180" s="671"/>
      <c r="R180" s="671"/>
      <c r="S180" s="671"/>
      <c r="T180" s="671"/>
      <c r="U180" s="671"/>
      <c r="V180" s="671"/>
      <c r="W180" s="671"/>
      <c r="X180" s="671"/>
    </row>
    <row r="181" spans="8:24" x14ac:dyDescent="0.35">
      <c r="H181" s="671"/>
      <c r="I181" s="671"/>
      <c r="J181" s="671"/>
      <c r="K181" s="671"/>
      <c r="L181" s="671"/>
      <c r="M181" s="671"/>
      <c r="N181" s="671"/>
      <c r="O181" s="671"/>
      <c r="P181" s="671"/>
      <c r="Q181" s="671"/>
      <c r="R181" s="671"/>
      <c r="S181" s="671"/>
      <c r="T181" s="671"/>
      <c r="U181" s="671"/>
      <c r="V181" s="671"/>
      <c r="W181" s="671"/>
      <c r="X181" s="671"/>
    </row>
    <row r="182" spans="8:24" x14ac:dyDescent="0.35">
      <c r="H182" s="671"/>
      <c r="I182" s="671"/>
      <c r="J182" s="671"/>
      <c r="K182" s="671"/>
      <c r="L182" s="671"/>
      <c r="M182" s="671"/>
      <c r="N182" s="671"/>
      <c r="O182" s="671"/>
      <c r="P182" s="671"/>
      <c r="Q182" s="671"/>
      <c r="R182" s="671"/>
      <c r="S182" s="671"/>
      <c r="T182" s="671"/>
      <c r="U182" s="671"/>
      <c r="V182" s="671"/>
      <c r="W182" s="671"/>
      <c r="X182" s="671"/>
    </row>
    <row r="183" spans="8:24" x14ac:dyDescent="0.35">
      <c r="H183" s="671"/>
      <c r="I183" s="671"/>
      <c r="J183" s="671"/>
      <c r="K183" s="671"/>
      <c r="L183" s="671"/>
      <c r="M183" s="671"/>
      <c r="N183" s="671"/>
      <c r="O183" s="671"/>
      <c r="P183" s="671"/>
      <c r="Q183" s="671"/>
      <c r="R183" s="671"/>
      <c r="S183" s="671"/>
      <c r="T183" s="671"/>
      <c r="U183" s="671"/>
      <c r="V183" s="671"/>
      <c r="W183" s="671"/>
      <c r="X183" s="671"/>
    </row>
    <row r="184" spans="8:24" x14ac:dyDescent="0.35">
      <c r="H184" s="671"/>
      <c r="I184" s="671"/>
      <c r="J184" s="671"/>
      <c r="K184" s="671"/>
      <c r="L184" s="671"/>
      <c r="M184" s="671"/>
      <c r="N184" s="671"/>
      <c r="O184" s="671"/>
      <c r="P184" s="671"/>
      <c r="Q184" s="671"/>
      <c r="R184" s="671"/>
      <c r="S184" s="671"/>
      <c r="T184" s="671"/>
      <c r="U184" s="671"/>
      <c r="V184" s="671"/>
      <c r="W184" s="671"/>
      <c r="X184" s="671"/>
    </row>
    <row r="185" spans="8:24" x14ac:dyDescent="0.35">
      <c r="H185" s="671"/>
      <c r="I185" s="671"/>
      <c r="J185" s="671"/>
      <c r="K185" s="671"/>
      <c r="L185" s="671"/>
      <c r="M185" s="671"/>
      <c r="N185" s="671"/>
      <c r="O185" s="671"/>
      <c r="P185" s="671"/>
      <c r="Q185" s="671"/>
      <c r="R185" s="671"/>
      <c r="S185" s="671"/>
      <c r="T185" s="671"/>
      <c r="U185" s="671"/>
      <c r="V185" s="671"/>
      <c r="W185" s="671"/>
      <c r="X185" s="671"/>
    </row>
    <row r="186" spans="8:24" x14ac:dyDescent="0.35">
      <c r="H186" s="671"/>
      <c r="I186" s="671"/>
      <c r="J186" s="671"/>
      <c r="K186" s="671"/>
      <c r="L186" s="671"/>
      <c r="M186" s="671"/>
      <c r="N186" s="671"/>
      <c r="O186" s="671"/>
      <c r="P186" s="671"/>
      <c r="Q186" s="671"/>
      <c r="R186" s="671"/>
      <c r="S186" s="671"/>
      <c r="T186" s="671"/>
      <c r="U186" s="671"/>
      <c r="V186" s="671"/>
      <c r="W186" s="671"/>
      <c r="X186" s="671"/>
    </row>
    <row r="187" spans="8:24" x14ac:dyDescent="0.35">
      <c r="H187" s="671"/>
      <c r="I187" s="671"/>
      <c r="J187" s="671"/>
      <c r="K187" s="671"/>
      <c r="L187" s="671"/>
      <c r="M187" s="671"/>
      <c r="N187" s="671"/>
      <c r="O187" s="671"/>
      <c r="P187" s="671"/>
      <c r="Q187" s="671"/>
      <c r="R187" s="671"/>
      <c r="S187" s="671"/>
      <c r="T187" s="671"/>
      <c r="U187" s="671"/>
      <c r="V187" s="671"/>
      <c r="W187" s="671"/>
      <c r="X187" s="671"/>
    </row>
    <row r="188" spans="8:24" x14ac:dyDescent="0.35">
      <c r="H188" s="671"/>
      <c r="I188" s="671"/>
      <c r="J188" s="671"/>
      <c r="K188" s="671"/>
      <c r="L188" s="671"/>
      <c r="M188" s="671"/>
      <c r="N188" s="671"/>
      <c r="O188" s="671"/>
      <c r="P188" s="671"/>
      <c r="Q188" s="671"/>
      <c r="R188" s="671"/>
      <c r="S188" s="671"/>
      <c r="T188" s="671"/>
      <c r="U188" s="671"/>
      <c r="V188" s="671"/>
      <c r="W188" s="671"/>
      <c r="X188" s="671"/>
    </row>
    <row r="189" spans="8:24" x14ac:dyDescent="0.35">
      <c r="H189" s="671"/>
      <c r="I189" s="671"/>
      <c r="J189" s="671"/>
      <c r="K189" s="671"/>
      <c r="L189" s="671"/>
      <c r="M189" s="671"/>
      <c r="N189" s="671"/>
      <c r="O189" s="671"/>
      <c r="P189" s="671"/>
      <c r="Q189" s="671"/>
      <c r="R189" s="671"/>
      <c r="S189" s="671"/>
      <c r="T189" s="671"/>
      <c r="U189" s="671"/>
      <c r="V189" s="671"/>
      <c r="W189" s="671"/>
      <c r="X189" s="671"/>
    </row>
    <row r="190" spans="8:24" x14ac:dyDescent="0.35">
      <c r="H190" s="671"/>
      <c r="I190" s="671"/>
      <c r="J190" s="671"/>
      <c r="K190" s="671"/>
      <c r="L190" s="671"/>
      <c r="M190" s="671"/>
      <c r="N190" s="671"/>
      <c r="O190" s="671"/>
      <c r="P190" s="671"/>
      <c r="Q190" s="671"/>
      <c r="R190" s="671"/>
      <c r="S190" s="671"/>
      <c r="T190" s="671"/>
      <c r="U190" s="671"/>
      <c r="V190" s="671"/>
      <c r="W190" s="671"/>
      <c r="X190" s="671"/>
    </row>
    <row r="191" spans="8:24" x14ac:dyDescent="0.35">
      <c r="H191" s="671"/>
      <c r="I191" s="671"/>
      <c r="J191" s="671"/>
      <c r="K191" s="671"/>
      <c r="L191" s="671"/>
      <c r="M191" s="671"/>
      <c r="N191" s="671"/>
      <c r="O191" s="671"/>
      <c r="P191" s="671"/>
      <c r="Q191" s="671"/>
      <c r="R191" s="671"/>
      <c r="S191" s="671"/>
      <c r="T191" s="671"/>
      <c r="U191" s="671"/>
      <c r="V191" s="671"/>
      <c r="W191" s="671"/>
      <c r="X191" s="671"/>
    </row>
    <row r="192" spans="8:24" x14ac:dyDescent="0.35">
      <c r="H192" s="671"/>
      <c r="I192" s="671"/>
      <c r="J192" s="671"/>
      <c r="K192" s="671"/>
      <c r="L192" s="671"/>
      <c r="M192" s="671"/>
      <c r="N192" s="671"/>
      <c r="O192" s="671"/>
      <c r="P192" s="671"/>
      <c r="Q192" s="671"/>
      <c r="R192" s="671"/>
      <c r="S192" s="671"/>
      <c r="T192" s="671"/>
      <c r="U192" s="671"/>
      <c r="V192" s="671"/>
      <c r="W192" s="671"/>
      <c r="X192" s="671"/>
    </row>
    <row r="193" spans="8:24" x14ac:dyDescent="0.35">
      <c r="H193" s="671"/>
      <c r="I193" s="671"/>
      <c r="J193" s="671"/>
      <c r="K193" s="671"/>
      <c r="L193" s="671"/>
      <c r="M193" s="671"/>
      <c r="N193" s="671"/>
      <c r="O193" s="671"/>
      <c r="P193" s="671"/>
      <c r="Q193" s="671"/>
      <c r="R193" s="671"/>
      <c r="S193" s="671"/>
      <c r="T193" s="671"/>
      <c r="U193" s="671"/>
      <c r="V193" s="671"/>
      <c r="W193" s="671"/>
      <c r="X193" s="671"/>
    </row>
    <row r="194" spans="8:24" x14ac:dyDescent="0.35">
      <c r="H194" s="671"/>
      <c r="I194" s="671"/>
      <c r="J194" s="671"/>
      <c r="K194" s="671"/>
      <c r="L194" s="671"/>
      <c r="M194" s="671"/>
      <c r="N194" s="671"/>
      <c r="O194" s="671"/>
      <c r="P194" s="671"/>
      <c r="Q194" s="671"/>
      <c r="R194" s="671"/>
      <c r="S194" s="671"/>
      <c r="T194" s="671"/>
      <c r="U194" s="671"/>
      <c r="V194" s="671"/>
      <c r="W194" s="671"/>
      <c r="X194" s="671"/>
    </row>
    <row r="195" spans="8:24" x14ac:dyDescent="0.35">
      <c r="H195" s="671"/>
      <c r="I195" s="671"/>
      <c r="J195" s="671"/>
      <c r="K195" s="671"/>
      <c r="L195" s="671"/>
      <c r="M195" s="671"/>
      <c r="N195" s="671"/>
      <c r="O195" s="671"/>
      <c r="P195" s="671"/>
      <c r="Q195" s="671"/>
      <c r="R195" s="671"/>
      <c r="S195" s="671"/>
      <c r="T195" s="671"/>
      <c r="U195" s="671"/>
      <c r="V195" s="671"/>
      <c r="W195" s="671"/>
      <c r="X195" s="671"/>
    </row>
    <row r="196" spans="8:24" x14ac:dyDescent="0.35">
      <c r="H196" s="671"/>
      <c r="I196" s="671"/>
      <c r="J196" s="671"/>
      <c r="K196" s="671"/>
      <c r="L196" s="671"/>
      <c r="M196" s="671"/>
      <c r="N196" s="671"/>
      <c r="O196" s="671"/>
      <c r="P196" s="671"/>
      <c r="Q196" s="671"/>
      <c r="R196" s="671"/>
      <c r="S196" s="671"/>
      <c r="T196" s="671"/>
      <c r="U196" s="671"/>
      <c r="V196" s="671"/>
      <c r="W196" s="671"/>
      <c r="X196" s="671"/>
    </row>
    <row r="197" spans="8:24" x14ac:dyDescent="0.35">
      <c r="H197" s="671"/>
      <c r="I197" s="671"/>
      <c r="J197" s="671"/>
      <c r="K197" s="671"/>
      <c r="L197" s="671"/>
      <c r="M197" s="671"/>
      <c r="N197" s="671"/>
      <c r="O197" s="671"/>
      <c r="P197" s="671"/>
      <c r="Q197" s="671"/>
      <c r="R197" s="671"/>
      <c r="S197" s="671"/>
      <c r="T197" s="671"/>
      <c r="U197" s="671"/>
      <c r="V197" s="671"/>
      <c r="W197" s="671"/>
      <c r="X197" s="671"/>
    </row>
    <row r="198" spans="8:24" x14ac:dyDescent="0.35">
      <c r="H198" s="671"/>
      <c r="I198" s="671"/>
      <c r="J198" s="671"/>
      <c r="K198" s="671"/>
      <c r="L198" s="671"/>
      <c r="M198" s="671"/>
      <c r="N198" s="671"/>
      <c r="O198" s="671"/>
      <c r="P198" s="671"/>
      <c r="Q198" s="671"/>
      <c r="R198" s="671"/>
      <c r="S198" s="671"/>
      <c r="T198" s="671"/>
      <c r="U198" s="671"/>
      <c r="V198" s="671"/>
      <c r="W198" s="671"/>
      <c r="X198" s="671"/>
    </row>
    <row r="199" spans="8:24" x14ac:dyDescent="0.35">
      <c r="H199" s="671"/>
      <c r="I199" s="671"/>
      <c r="J199" s="671"/>
      <c r="K199" s="671"/>
      <c r="L199" s="671"/>
      <c r="M199" s="671"/>
      <c r="N199" s="671"/>
      <c r="O199" s="671"/>
      <c r="P199" s="671"/>
      <c r="Q199" s="671"/>
      <c r="R199" s="671"/>
      <c r="S199" s="671"/>
      <c r="T199" s="671"/>
      <c r="U199" s="671"/>
      <c r="V199" s="671"/>
      <c r="W199" s="671"/>
      <c r="X199" s="671"/>
    </row>
    <row r="200" spans="8:24" x14ac:dyDescent="0.35">
      <c r="H200" s="671"/>
      <c r="I200" s="671"/>
      <c r="J200" s="671"/>
      <c r="K200" s="671"/>
      <c r="L200" s="671"/>
      <c r="M200" s="671"/>
      <c r="N200" s="671"/>
      <c r="O200" s="671"/>
      <c r="P200" s="671"/>
      <c r="Q200" s="671"/>
      <c r="R200" s="671"/>
      <c r="S200" s="671"/>
      <c r="T200" s="671"/>
      <c r="U200" s="671"/>
      <c r="V200" s="671"/>
      <c r="W200" s="671"/>
      <c r="X200" s="671"/>
    </row>
    <row r="201" spans="8:24" x14ac:dyDescent="0.35">
      <c r="H201" s="671"/>
      <c r="I201" s="671"/>
      <c r="J201" s="671"/>
      <c r="K201" s="671"/>
      <c r="L201" s="671"/>
      <c r="M201" s="671"/>
      <c r="N201" s="671"/>
      <c r="O201" s="671"/>
      <c r="P201" s="671"/>
      <c r="Q201" s="671"/>
      <c r="R201" s="671"/>
      <c r="S201" s="671"/>
      <c r="T201" s="671"/>
      <c r="U201" s="671"/>
      <c r="V201" s="671"/>
      <c r="W201" s="671"/>
      <c r="X201" s="671"/>
    </row>
    <row r="202" spans="8:24" x14ac:dyDescent="0.35">
      <c r="H202" s="671"/>
      <c r="I202" s="671"/>
      <c r="J202" s="671"/>
      <c r="K202" s="671"/>
      <c r="L202" s="671"/>
      <c r="M202" s="671"/>
      <c r="N202" s="671"/>
      <c r="O202" s="671"/>
      <c r="P202" s="671"/>
      <c r="Q202" s="671"/>
      <c r="R202" s="671"/>
      <c r="S202" s="671"/>
      <c r="T202" s="671"/>
      <c r="U202" s="671"/>
      <c r="V202" s="671"/>
      <c r="W202" s="671"/>
      <c r="X202" s="671"/>
    </row>
    <row r="203" spans="8:24" x14ac:dyDescent="0.35">
      <c r="H203" s="671"/>
      <c r="I203" s="671"/>
      <c r="J203" s="671"/>
      <c r="K203" s="671"/>
      <c r="L203" s="671"/>
      <c r="M203" s="671"/>
      <c r="N203" s="671"/>
      <c r="O203" s="671"/>
      <c r="P203" s="671"/>
      <c r="Q203" s="671"/>
      <c r="R203" s="671"/>
      <c r="S203" s="671"/>
      <c r="T203" s="671"/>
      <c r="U203" s="671"/>
      <c r="V203" s="671"/>
      <c r="W203" s="671"/>
      <c r="X203" s="671"/>
    </row>
    <row r="204" spans="8:24" x14ac:dyDescent="0.35">
      <c r="H204" s="671"/>
      <c r="I204" s="671"/>
      <c r="J204" s="671"/>
      <c r="K204" s="671"/>
      <c r="L204" s="671"/>
      <c r="M204" s="671"/>
      <c r="N204" s="671"/>
      <c r="O204" s="671"/>
      <c r="P204" s="671"/>
      <c r="Q204" s="671"/>
      <c r="R204" s="671"/>
      <c r="S204" s="671"/>
      <c r="T204" s="671"/>
      <c r="U204" s="671"/>
      <c r="V204" s="671"/>
      <c r="W204" s="671"/>
      <c r="X204" s="671"/>
    </row>
    <row r="205" spans="8:24" x14ac:dyDescent="0.35">
      <c r="H205" s="671"/>
      <c r="I205" s="671"/>
      <c r="J205" s="671"/>
      <c r="K205" s="671"/>
      <c r="L205" s="671"/>
      <c r="M205" s="671"/>
      <c r="N205" s="671"/>
      <c r="O205" s="671"/>
      <c r="P205" s="671"/>
      <c r="Q205" s="671"/>
      <c r="R205" s="671"/>
      <c r="S205" s="671"/>
      <c r="T205" s="671"/>
      <c r="U205" s="671"/>
      <c r="V205" s="671"/>
      <c r="W205" s="671"/>
      <c r="X205" s="671"/>
    </row>
    <row r="206" spans="8:24" x14ac:dyDescent="0.35">
      <c r="H206" s="671"/>
      <c r="I206" s="671"/>
      <c r="J206" s="671"/>
      <c r="K206" s="671"/>
      <c r="L206" s="671"/>
      <c r="M206" s="671"/>
      <c r="N206" s="671"/>
      <c r="O206" s="671"/>
      <c r="P206" s="671"/>
      <c r="Q206" s="671"/>
      <c r="R206" s="671"/>
      <c r="S206" s="671"/>
      <c r="T206" s="671"/>
      <c r="U206" s="671"/>
      <c r="V206" s="671"/>
      <c r="W206" s="671"/>
      <c r="X206" s="671"/>
    </row>
    <row r="207" spans="8:24" x14ac:dyDescent="0.35">
      <c r="H207" s="671"/>
      <c r="I207" s="671"/>
      <c r="J207" s="671"/>
      <c r="K207" s="671"/>
      <c r="L207" s="671"/>
      <c r="M207" s="671"/>
      <c r="N207" s="671"/>
      <c r="O207" s="671"/>
      <c r="P207" s="671"/>
      <c r="Q207" s="671"/>
      <c r="R207" s="671"/>
      <c r="S207" s="671"/>
      <c r="T207" s="671"/>
      <c r="U207" s="671"/>
      <c r="V207" s="671"/>
      <c r="W207" s="671"/>
      <c r="X207" s="671"/>
    </row>
    <row r="208" spans="8:24" x14ac:dyDescent="0.35">
      <c r="H208" s="671"/>
      <c r="I208" s="671"/>
      <c r="J208" s="671"/>
      <c r="K208" s="671"/>
      <c r="L208" s="671"/>
      <c r="M208" s="671"/>
      <c r="N208" s="671"/>
      <c r="O208" s="671"/>
      <c r="P208" s="671"/>
      <c r="Q208" s="671"/>
      <c r="R208" s="671"/>
      <c r="S208" s="671"/>
      <c r="T208" s="671"/>
      <c r="U208" s="671"/>
      <c r="V208" s="671"/>
      <c r="W208" s="671"/>
      <c r="X208" s="671"/>
    </row>
    <row r="209" spans="8:24" x14ac:dyDescent="0.35">
      <c r="H209" s="671"/>
      <c r="I209" s="671"/>
      <c r="J209" s="671"/>
      <c r="K209" s="671"/>
      <c r="L209" s="671"/>
      <c r="M209" s="671"/>
      <c r="N209" s="671"/>
      <c r="O209" s="671"/>
      <c r="P209" s="671"/>
      <c r="Q209" s="671"/>
      <c r="R209" s="671"/>
      <c r="S209" s="671"/>
      <c r="T209" s="671"/>
      <c r="U209" s="671"/>
      <c r="V209" s="671"/>
      <c r="W209" s="671"/>
      <c r="X209" s="671"/>
    </row>
    <row r="210" spans="8:24" x14ac:dyDescent="0.35">
      <c r="H210" s="671"/>
      <c r="I210" s="671"/>
      <c r="J210" s="671"/>
      <c r="K210" s="671"/>
      <c r="L210" s="671"/>
      <c r="M210" s="671"/>
      <c r="N210" s="671"/>
      <c r="O210" s="671"/>
      <c r="P210" s="671"/>
      <c r="Q210" s="671"/>
      <c r="R210" s="671"/>
      <c r="S210" s="671"/>
      <c r="T210" s="671"/>
      <c r="U210" s="671"/>
      <c r="V210" s="671"/>
      <c r="W210" s="671"/>
      <c r="X210" s="671"/>
    </row>
    <row r="211" spans="8:24" x14ac:dyDescent="0.35">
      <c r="H211" s="671"/>
      <c r="I211" s="671"/>
      <c r="J211" s="671"/>
      <c r="K211" s="671"/>
      <c r="L211" s="671"/>
      <c r="M211" s="671"/>
      <c r="N211" s="671"/>
      <c r="O211" s="671"/>
      <c r="P211" s="671"/>
      <c r="Q211" s="671"/>
      <c r="R211" s="671"/>
      <c r="S211" s="671"/>
      <c r="T211" s="671"/>
      <c r="U211" s="671"/>
      <c r="V211" s="671"/>
      <c r="W211" s="671"/>
      <c r="X211" s="671"/>
    </row>
    <row r="212" spans="8:24" x14ac:dyDescent="0.35">
      <c r="H212" s="671"/>
      <c r="I212" s="671"/>
      <c r="J212" s="671"/>
      <c r="K212" s="671"/>
      <c r="L212" s="671"/>
      <c r="M212" s="671"/>
      <c r="N212" s="671"/>
      <c r="O212" s="671"/>
      <c r="P212" s="671"/>
      <c r="Q212" s="671"/>
      <c r="R212" s="671"/>
      <c r="S212" s="671"/>
      <c r="T212" s="671"/>
      <c r="U212" s="671"/>
      <c r="V212" s="671"/>
      <c r="W212" s="671"/>
      <c r="X212" s="671"/>
    </row>
    <row r="213" spans="8:24" x14ac:dyDescent="0.35">
      <c r="H213" s="671"/>
      <c r="I213" s="671"/>
      <c r="J213" s="671"/>
      <c r="K213" s="671"/>
      <c r="L213" s="671"/>
      <c r="M213" s="671"/>
      <c r="N213" s="671"/>
      <c r="O213" s="671"/>
      <c r="P213" s="671"/>
      <c r="Q213" s="671"/>
      <c r="R213" s="671"/>
      <c r="S213" s="671"/>
      <c r="T213" s="671"/>
      <c r="U213" s="671"/>
      <c r="V213" s="671"/>
      <c r="W213" s="671"/>
      <c r="X213" s="671"/>
    </row>
    <row r="214" spans="8:24" x14ac:dyDescent="0.35">
      <c r="H214" s="671"/>
      <c r="I214" s="671"/>
      <c r="J214" s="671"/>
      <c r="K214" s="671"/>
      <c r="L214" s="671"/>
      <c r="M214" s="671"/>
      <c r="N214" s="671"/>
      <c r="O214" s="671"/>
      <c r="P214" s="671"/>
      <c r="Q214" s="671"/>
      <c r="R214" s="671"/>
      <c r="S214" s="671"/>
      <c r="T214" s="671"/>
      <c r="U214" s="671"/>
      <c r="V214" s="671"/>
      <c r="W214" s="671"/>
      <c r="X214" s="671"/>
    </row>
    <row r="215" spans="8:24" x14ac:dyDescent="0.35">
      <c r="H215" s="671"/>
      <c r="I215" s="671"/>
      <c r="J215" s="671"/>
      <c r="K215" s="671"/>
      <c r="L215" s="671"/>
      <c r="M215" s="671"/>
      <c r="N215" s="671"/>
      <c r="O215" s="671"/>
      <c r="P215" s="671"/>
      <c r="Q215" s="671"/>
      <c r="R215" s="671"/>
      <c r="S215" s="671"/>
      <c r="T215" s="671"/>
      <c r="U215" s="671"/>
      <c r="V215" s="671"/>
      <c r="W215" s="671"/>
      <c r="X215" s="671"/>
    </row>
    <row r="216" spans="8:24" x14ac:dyDescent="0.35">
      <c r="H216" s="671"/>
      <c r="I216" s="671"/>
      <c r="J216" s="671"/>
      <c r="K216" s="671"/>
      <c r="L216" s="671"/>
      <c r="M216" s="671"/>
      <c r="N216" s="671"/>
      <c r="O216" s="671"/>
      <c r="P216" s="671"/>
      <c r="Q216" s="671"/>
      <c r="R216" s="671"/>
      <c r="S216" s="671"/>
      <c r="T216" s="671"/>
      <c r="U216" s="671"/>
      <c r="V216" s="671"/>
      <c r="W216" s="671"/>
      <c r="X216" s="671"/>
    </row>
    <row r="217" spans="8:24" x14ac:dyDescent="0.35">
      <c r="H217" s="671"/>
      <c r="I217" s="671"/>
      <c r="J217" s="671"/>
      <c r="K217" s="671"/>
      <c r="L217" s="671"/>
      <c r="M217" s="671"/>
      <c r="N217" s="671"/>
      <c r="O217" s="671"/>
      <c r="P217" s="671"/>
      <c r="Q217" s="671"/>
      <c r="R217" s="671"/>
      <c r="S217" s="671"/>
      <c r="T217" s="671"/>
      <c r="U217" s="671"/>
      <c r="V217" s="671"/>
      <c r="W217" s="671"/>
      <c r="X217" s="671"/>
    </row>
    <row r="218" spans="8:24" x14ac:dyDescent="0.35">
      <c r="H218" s="671"/>
      <c r="I218" s="671"/>
      <c r="J218" s="671"/>
      <c r="K218" s="671"/>
      <c r="L218" s="671"/>
      <c r="M218" s="671"/>
      <c r="N218" s="671"/>
      <c r="O218" s="671"/>
      <c r="P218" s="671"/>
      <c r="Q218" s="671"/>
      <c r="R218" s="671"/>
      <c r="S218" s="671"/>
      <c r="T218" s="671"/>
      <c r="U218" s="671"/>
      <c r="V218" s="671"/>
      <c r="W218" s="671"/>
      <c r="X218" s="671"/>
    </row>
    <row r="219" spans="8:24" x14ac:dyDescent="0.35">
      <c r="H219" s="671"/>
      <c r="I219" s="671"/>
      <c r="J219" s="671"/>
      <c r="K219" s="671"/>
      <c r="L219" s="671"/>
      <c r="M219" s="671"/>
      <c r="N219" s="671"/>
      <c r="O219" s="671"/>
      <c r="P219" s="671"/>
      <c r="Q219" s="671"/>
      <c r="R219" s="671"/>
      <c r="S219" s="671"/>
      <c r="T219" s="671"/>
      <c r="U219" s="671"/>
      <c r="V219" s="671"/>
      <c r="W219" s="671"/>
      <c r="X219" s="671"/>
    </row>
    <row r="220" spans="8:24" x14ac:dyDescent="0.35">
      <c r="H220" s="671"/>
      <c r="I220" s="671"/>
      <c r="J220" s="671"/>
      <c r="K220" s="671"/>
      <c r="L220" s="671"/>
      <c r="M220" s="671"/>
      <c r="N220" s="671"/>
      <c r="O220" s="671"/>
      <c r="P220" s="671"/>
      <c r="Q220" s="671"/>
      <c r="R220" s="671"/>
      <c r="S220" s="671"/>
      <c r="T220" s="671"/>
      <c r="U220" s="671"/>
      <c r="V220" s="671"/>
      <c r="W220" s="671"/>
      <c r="X220" s="671"/>
    </row>
    <row r="221" spans="8:24" x14ac:dyDescent="0.35">
      <c r="H221" s="671"/>
      <c r="I221" s="671"/>
      <c r="J221" s="671"/>
      <c r="K221" s="671"/>
      <c r="L221" s="671"/>
      <c r="M221" s="671"/>
      <c r="N221" s="671"/>
      <c r="O221" s="671"/>
      <c r="P221" s="671"/>
      <c r="Q221" s="671"/>
      <c r="R221" s="671"/>
      <c r="S221" s="671"/>
      <c r="T221" s="671"/>
      <c r="U221" s="671"/>
      <c r="V221" s="671"/>
      <c r="W221" s="671"/>
      <c r="X221" s="671"/>
    </row>
    <row r="222" spans="8:24" x14ac:dyDescent="0.35">
      <c r="H222" s="671"/>
      <c r="I222" s="671"/>
      <c r="J222" s="671"/>
      <c r="K222" s="671"/>
      <c r="L222" s="671"/>
      <c r="M222" s="671"/>
      <c r="N222" s="671"/>
      <c r="O222" s="671"/>
      <c r="P222" s="671"/>
      <c r="Q222" s="671"/>
      <c r="R222" s="671"/>
      <c r="S222" s="671"/>
      <c r="T222" s="671"/>
      <c r="U222" s="671"/>
      <c r="V222" s="671"/>
      <c r="W222" s="671"/>
      <c r="X222" s="671"/>
    </row>
    <row r="223" spans="8:24" x14ac:dyDescent="0.35">
      <c r="H223" s="671"/>
      <c r="I223" s="671"/>
      <c r="J223" s="671"/>
      <c r="K223" s="671"/>
      <c r="L223" s="671"/>
      <c r="M223" s="671"/>
      <c r="N223" s="671"/>
      <c r="O223" s="671"/>
      <c r="P223" s="671"/>
      <c r="Q223" s="671"/>
      <c r="R223" s="671"/>
      <c r="S223" s="671"/>
      <c r="T223" s="671"/>
      <c r="U223" s="671"/>
      <c r="V223" s="671"/>
      <c r="W223" s="671"/>
      <c r="X223" s="671"/>
    </row>
    <row r="224" spans="8:24" x14ac:dyDescent="0.35">
      <c r="H224" s="671"/>
      <c r="I224" s="671"/>
      <c r="J224" s="671"/>
      <c r="K224" s="671"/>
      <c r="L224" s="671"/>
      <c r="M224" s="671"/>
      <c r="N224" s="671"/>
      <c r="O224" s="671"/>
      <c r="P224" s="671"/>
      <c r="Q224" s="671"/>
      <c r="R224" s="671"/>
      <c r="S224" s="671"/>
      <c r="T224" s="671"/>
      <c r="U224" s="671"/>
      <c r="V224" s="671"/>
      <c r="W224" s="671"/>
      <c r="X224" s="671"/>
    </row>
    <row r="225" spans="8:24" x14ac:dyDescent="0.35">
      <c r="H225" s="671"/>
      <c r="I225" s="671"/>
      <c r="J225" s="671"/>
      <c r="K225" s="671"/>
      <c r="L225" s="671"/>
      <c r="M225" s="671"/>
      <c r="N225" s="671"/>
      <c r="O225" s="671"/>
      <c r="P225" s="671"/>
      <c r="Q225" s="671"/>
      <c r="R225" s="671"/>
      <c r="S225" s="671"/>
      <c r="T225" s="671"/>
      <c r="U225" s="671"/>
      <c r="V225" s="671"/>
      <c r="W225" s="671"/>
      <c r="X225" s="671"/>
    </row>
    <row r="226" spans="8:24" x14ac:dyDescent="0.35">
      <c r="H226" s="671"/>
      <c r="I226" s="671"/>
      <c r="J226" s="671"/>
      <c r="K226" s="671"/>
      <c r="L226" s="671"/>
      <c r="M226" s="671"/>
      <c r="N226" s="671"/>
      <c r="O226" s="671"/>
      <c r="P226" s="671"/>
      <c r="Q226" s="671"/>
      <c r="R226" s="671"/>
      <c r="S226" s="671"/>
      <c r="T226" s="671"/>
      <c r="U226" s="671"/>
      <c r="V226" s="671"/>
      <c r="W226" s="671"/>
      <c r="X226" s="671"/>
    </row>
    <row r="227" spans="8:24" x14ac:dyDescent="0.35">
      <c r="H227" s="671"/>
      <c r="I227" s="671"/>
      <c r="J227" s="671"/>
      <c r="K227" s="671"/>
      <c r="L227" s="671"/>
      <c r="M227" s="671"/>
      <c r="N227" s="671"/>
      <c r="O227" s="671"/>
      <c r="P227" s="671"/>
      <c r="Q227" s="671"/>
      <c r="R227" s="671"/>
      <c r="S227" s="671"/>
      <c r="T227" s="671"/>
      <c r="U227" s="671"/>
      <c r="V227" s="671"/>
      <c r="W227" s="671"/>
      <c r="X227" s="671"/>
    </row>
    <row r="228" spans="8:24" x14ac:dyDescent="0.35">
      <c r="H228" s="671"/>
      <c r="I228" s="671"/>
      <c r="J228" s="671"/>
      <c r="K228" s="671"/>
      <c r="L228" s="671"/>
      <c r="M228" s="671"/>
      <c r="N228" s="671"/>
      <c r="O228" s="671"/>
      <c r="P228" s="671"/>
      <c r="Q228" s="671"/>
      <c r="R228" s="671"/>
      <c r="S228" s="671"/>
      <c r="T228" s="671"/>
      <c r="U228" s="671"/>
      <c r="V228" s="671"/>
      <c r="W228" s="671"/>
      <c r="X228" s="671"/>
    </row>
    <row r="229" spans="8:24" x14ac:dyDescent="0.35">
      <c r="H229" s="671"/>
      <c r="I229" s="671"/>
      <c r="J229" s="671"/>
      <c r="K229" s="671"/>
      <c r="L229" s="671"/>
      <c r="M229" s="671"/>
      <c r="N229" s="671"/>
      <c r="O229" s="671"/>
      <c r="P229" s="671"/>
      <c r="Q229" s="671"/>
      <c r="R229" s="671"/>
      <c r="S229" s="671"/>
      <c r="T229" s="671"/>
      <c r="U229" s="671"/>
      <c r="V229" s="671"/>
      <c r="W229" s="671"/>
      <c r="X229" s="671"/>
    </row>
    <row r="230" spans="8:24" x14ac:dyDescent="0.35">
      <c r="H230" s="671"/>
      <c r="I230" s="671"/>
      <c r="J230" s="671"/>
      <c r="K230" s="671"/>
      <c r="L230" s="671"/>
      <c r="M230" s="671"/>
      <c r="N230" s="671"/>
      <c r="O230" s="671"/>
      <c r="P230" s="671"/>
      <c r="Q230" s="671"/>
      <c r="R230" s="671"/>
      <c r="S230" s="671"/>
      <c r="T230" s="671"/>
      <c r="U230" s="671"/>
      <c r="V230" s="671"/>
      <c r="W230" s="671"/>
      <c r="X230" s="671"/>
    </row>
    <row r="231" spans="8:24" x14ac:dyDescent="0.35">
      <c r="H231" s="671"/>
      <c r="I231" s="671"/>
      <c r="J231" s="671"/>
      <c r="K231" s="671"/>
      <c r="L231" s="671"/>
      <c r="M231" s="671"/>
      <c r="N231" s="671"/>
      <c r="O231" s="671"/>
      <c r="P231" s="671"/>
      <c r="Q231" s="671"/>
      <c r="R231" s="671"/>
      <c r="S231" s="671"/>
      <c r="T231" s="671"/>
      <c r="U231" s="671"/>
      <c r="V231" s="671"/>
      <c r="W231" s="671"/>
      <c r="X231" s="671"/>
    </row>
    <row r="232" spans="8:24" x14ac:dyDescent="0.35">
      <c r="H232" s="671"/>
      <c r="I232" s="671"/>
      <c r="J232" s="671"/>
      <c r="K232" s="671"/>
      <c r="L232" s="671"/>
      <c r="M232" s="671"/>
      <c r="N232" s="671"/>
      <c r="O232" s="671"/>
      <c r="P232" s="671"/>
      <c r="Q232" s="671"/>
      <c r="R232" s="671"/>
      <c r="S232" s="671"/>
      <c r="T232" s="671"/>
      <c r="U232" s="671"/>
      <c r="V232" s="671"/>
      <c r="W232" s="671"/>
      <c r="X232" s="671"/>
    </row>
    <row r="233" spans="8:24" x14ac:dyDescent="0.35">
      <c r="H233" s="671"/>
      <c r="I233" s="671"/>
      <c r="J233" s="671"/>
      <c r="K233" s="671"/>
      <c r="L233" s="671"/>
      <c r="M233" s="671"/>
      <c r="N233" s="671"/>
      <c r="O233" s="671"/>
      <c r="P233" s="671"/>
      <c r="Q233" s="671"/>
      <c r="R233" s="671"/>
      <c r="S233" s="671"/>
      <c r="T233" s="671"/>
      <c r="U233" s="671"/>
      <c r="V233" s="671"/>
      <c r="W233" s="671"/>
      <c r="X233" s="671"/>
    </row>
    <row r="234" spans="8:24" x14ac:dyDescent="0.35">
      <c r="H234" s="671"/>
      <c r="I234" s="671"/>
      <c r="J234" s="671"/>
      <c r="K234" s="671"/>
      <c r="L234" s="671"/>
      <c r="M234" s="671"/>
      <c r="N234" s="671"/>
      <c r="O234" s="671"/>
      <c r="P234" s="671"/>
      <c r="Q234" s="671"/>
      <c r="R234" s="671"/>
      <c r="S234" s="671"/>
      <c r="T234" s="671"/>
      <c r="U234" s="671"/>
      <c r="V234" s="671"/>
      <c r="W234" s="671"/>
      <c r="X234" s="671"/>
    </row>
    <row r="235" spans="8:24" x14ac:dyDescent="0.35">
      <c r="H235" s="671"/>
      <c r="I235" s="671"/>
      <c r="J235" s="671"/>
      <c r="K235" s="671"/>
      <c r="L235" s="671"/>
      <c r="M235" s="671"/>
      <c r="N235" s="671"/>
      <c r="O235" s="671"/>
      <c r="P235" s="671"/>
      <c r="Q235" s="671"/>
      <c r="R235" s="671"/>
      <c r="S235" s="671"/>
      <c r="T235" s="671"/>
      <c r="U235" s="671"/>
      <c r="V235" s="671"/>
      <c r="W235" s="671"/>
      <c r="X235" s="671"/>
    </row>
    <row r="236" spans="8:24" x14ac:dyDescent="0.35">
      <c r="H236" s="671"/>
      <c r="I236" s="671"/>
      <c r="J236" s="671"/>
      <c r="K236" s="671"/>
      <c r="L236" s="671"/>
      <c r="M236" s="671"/>
      <c r="N236" s="671"/>
      <c r="O236" s="671"/>
      <c r="P236" s="671"/>
      <c r="Q236" s="671"/>
      <c r="R236" s="671"/>
      <c r="S236" s="671"/>
      <c r="T236" s="671"/>
      <c r="U236" s="671"/>
      <c r="V236" s="671"/>
      <c r="W236" s="671"/>
      <c r="X236" s="671"/>
    </row>
    <row r="237" spans="8:24" x14ac:dyDescent="0.35">
      <c r="H237" s="671"/>
      <c r="I237" s="671"/>
      <c r="J237" s="671"/>
      <c r="K237" s="671"/>
      <c r="L237" s="671"/>
      <c r="M237" s="671"/>
      <c r="N237" s="671"/>
      <c r="O237" s="671"/>
      <c r="P237" s="671"/>
      <c r="Q237" s="671"/>
      <c r="R237" s="671"/>
      <c r="S237" s="671"/>
      <c r="T237" s="671"/>
      <c r="U237" s="671"/>
      <c r="V237" s="671"/>
      <c r="W237" s="671"/>
      <c r="X237" s="671"/>
    </row>
    <row r="238" spans="8:24" x14ac:dyDescent="0.35">
      <c r="H238" s="671"/>
      <c r="I238" s="671"/>
      <c r="J238" s="671"/>
      <c r="K238" s="671"/>
      <c r="L238" s="671"/>
      <c r="M238" s="671"/>
      <c r="N238" s="671"/>
      <c r="O238" s="671"/>
      <c r="P238" s="671"/>
      <c r="Q238" s="671"/>
      <c r="R238" s="671"/>
      <c r="S238" s="671"/>
      <c r="T238" s="671"/>
      <c r="U238" s="671"/>
      <c r="V238" s="671"/>
      <c r="W238" s="671"/>
      <c r="X238" s="671"/>
    </row>
    <row r="239" spans="8:24" x14ac:dyDescent="0.35">
      <c r="H239" s="671"/>
      <c r="I239" s="671"/>
      <c r="J239" s="671"/>
      <c r="K239" s="671"/>
      <c r="L239" s="671"/>
      <c r="M239" s="671"/>
      <c r="N239" s="671"/>
      <c r="O239" s="671"/>
      <c r="P239" s="671"/>
      <c r="Q239" s="671"/>
      <c r="R239" s="671"/>
      <c r="S239" s="671"/>
      <c r="T239" s="671"/>
      <c r="U239" s="671"/>
      <c r="V239" s="671"/>
      <c r="W239" s="671"/>
      <c r="X23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pageSetUpPr fitToPage="1"/>
  </sheetPr>
  <dimension ref="B3:X239"/>
  <sheetViews>
    <sheetView topLeftCell="A6" workbookViewId="0">
      <selection activeCell="D25" sqref="D25"/>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row>
    <row r="8" spans="3:19" ht="12" customHeight="1" x14ac:dyDescent="0.35"/>
    <row r="9" spans="3:19" ht="15.65" hidden="1" customHeight="1" thickBot="1" x14ac:dyDescent="0.4">
      <c r="C9" s="723" t="s">
        <v>245</v>
      </c>
      <c r="D9" s="725" t="s">
        <v>246</v>
      </c>
      <c r="E9" s="726"/>
      <c r="F9" s="726"/>
      <c r="G9" s="726"/>
      <c r="H9" s="727"/>
      <c r="I9" s="728" t="s">
        <v>247</v>
      </c>
      <c r="K9" s="671"/>
      <c r="L9" s="671"/>
      <c r="M9" s="671"/>
      <c r="N9" s="671"/>
      <c r="O9" s="671"/>
    </row>
    <row r="10" spans="3:19" ht="15" hidden="1"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hidden="1" customHeight="1" x14ac:dyDescent="0.35">
      <c r="C11" s="724"/>
      <c r="D11" s="731" t="s">
        <v>253</v>
      </c>
      <c r="E11" s="732"/>
      <c r="F11" s="732"/>
      <c r="G11" s="732"/>
      <c r="H11" s="728"/>
      <c r="I11" s="730"/>
      <c r="K11" s="671"/>
      <c r="L11" s="671"/>
      <c r="M11" s="671"/>
      <c r="N11" s="671"/>
      <c r="O11" s="671"/>
      <c r="P11" s="671"/>
      <c r="R11">
        <v>30</v>
      </c>
      <c r="S11">
        <f>+D16</f>
        <v>3.0288E-4</v>
      </c>
    </row>
    <row r="12" spans="3:19" ht="21" hidden="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hidden="1"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hidden="1"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hidden="1"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hidden="1"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hidden="1"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v>1</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v>18</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t="str">
        <f>IF(COTIZADOR!D12&lt;250000,"",250000)</f>
        <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t="e">
        <f>+IF(D21=1,IF(D24=K10,VLOOKUP(D22,'ANEXO No.1'!B11:G76,2),IF('Depen A'!D24='Depen A'!L10,VLOOKUP(D22,'ANEXO No.1'!B11:G76,3),IF('Depen A'!D24='Depen A'!M10,VLOOKUP(D22,'ANEXO No.1'!B11:G76,4),IF('Depen A'!D24='Depen A'!N10,VLOOKUP(D22,'ANEXO No.1'!B11:G76,5),IF('Depen A'!D24='Depen A'!O10,VLOOKUP(D22,'ANEXO No.1'!B11:G76,6))))))*D24,IF(D24=K10,VLOOKUP(D22,'ANEXO No.1'!B11:G76,2),IF('Depen A'!D24='Depen A'!L10,VLOOKUP(D22,'ANEXO No.1'!B11:G76,3),IF('Depen A'!D24='Depen A'!M10,VLOOKUP(D22,'ANEXO No.1'!B11:G76,4),IF('Depen A'!D24='Depen A'!N10,VLOOKUP(D22,'ANEXO No.1'!B11:G76,5),IF('Depen A'!D24='Depen A'!O10,VLOOKUP(D22,'ANEXO No.1'!B11:G76,6))))))*D24*1.15)</f>
        <v>#VALUE!</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t="e">
        <f>SUM(E26:E29)</f>
        <v>#VALUE!</v>
      </c>
      <c r="F30" s="639" t="e">
        <f>E30/(1-0.4)</f>
        <v>#VALUE!</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t="e">
        <f>+F30</f>
        <v>#VALUE!</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1" spans="2:24" x14ac:dyDescent="0.35">
      <c r="H61" s="671"/>
      <c r="I61" s="671"/>
      <c r="J61" s="671"/>
      <c r="K61" s="671"/>
      <c r="L61" s="671"/>
      <c r="M61" s="671"/>
      <c r="N61" s="671"/>
      <c r="O61" s="671"/>
      <c r="P61" s="671"/>
      <c r="Q61" s="671"/>
      <c r="R61" s="671"/>
      <c r="S61" s="671"/>
      <c r="T61" s="671"/>
      <c r="U61" s="671"/>
      <c r="V61" s="671"/>
      <c r="W61" s="671"/>
      <c r="X61"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row r="80" spans="8:24" x14ac:dyDescent="0.35">
      <c r="H80" s="671"/>
      <c r="I80" s="671"/>
      <c r="J80" s="671"/>
      <c r="K80" s="671"/>
      <c r="L80" s="671"/>
      <c r="M80" s="671"/>
      <c r="N80" s="671"/>
      <c r="O80" s="671"/>
      <c r="P80" s="671"/>
      <c r="Q80" s="671"/>
      <c r="R80" s="671"/>
      <c r="S80" s="671"/>
      <c r="T80" s="671"/>
      <c r="U80" s="671"/>
      <c r="V80" s="671"/>
      <c r="W80" s="671"/>
      <c r="X80" s="671"/>
    </row>
    <row r="81" spans="8:24" x14ac:dyDescent="0.35">
      <c r="H81" s="671"/>
      <c r="I81" s="671"/>
      <c r="J81" s="671"/>
      <c r="K81" s="671"/>
      <c r="L81" s="671"/>
      <c r="M81" s="671"/>
      <c r="N81" s="671"/>
      <c r="O81" s="671"/>
      <c r="P81" s="671"/>
      <c r="Q81" s="671"/>
      <c r="R81" s="671"/>
      <c r="S81" s="671"/>
      <c r="T81" s="671"/>
      <c r="U81" s="671"/>
      <c r="V81" s="671"/>
      <c r="W81" s="671"/>
      <c r="X81" s="671"/>
    </row>
    <row r="82" spans="8:24" x14ac:dyDescent="0.35">
      <c r="H82" s="671"/>
      <c r="I82" s="671"/>
      <c r="J82" s="671"/>
      <c r="K82" s="671"/>
      <c r="L82" s="671"/>
      <c r="M82" s="671"/>
      <c r="N82" s="671"/>
      <c r="O82" s="671"/>
      <c r="P82" s="671"/>
      <c r="Q82" s="671"/>
      <c r="R82" s="671"/>
      <c r="S82" s="671"/>
      <c r="T82" s="671"/>
      <c r="U82" s="671"/>
      <c r="V82" s="671"/>
      <c r="W82" s="671"/>
      <c r="X82" s="671"/>
    </row>
    <row r="83" spans="8:24" x14ac:dyDescent="0.35">
      <c r="H83" s="671"/>
      <c r="I83" s="671"/>
      <c r="J83" s="671"/>
      <c r="K83" s="671"/>
      <c r="L83" s="671"/>
      <c r="M83" s="671"/>
      <c r="N83" s="671"/>
      <c r="O83" s="671"/>
      <c r="P83" s="671"/>
      <c r="Q83" s="671"/>
      <c r="R83" s="671"/>
      <c r="S83" s="671"/>
      <c r="T83" s="671"/>
      <c r="U83" s="671"/>
      <c r="V83" s="671"/>
      <c r="W83" s="671"/>
      <c r="X83" s="671"/>
    </row>
    <row r="84" spans="8:24" x14ac:dyDescent="0.35">
      <c r="H84" s="671"/>
      <c r="I84" s="671"/>
      <c r="J84" s="671"/>
      <c r="K84" s="671"/>
      <c r="L84" s="671"/>
      <c r="M84" s="671"/>
      <c r="N84" s="671"/>
      <c r="O84" s="671"/>
      <c r="P84" s="671"/>
      <c r="Q84" s="671"/>
      <c r="R84" s="671"/>
      <c r="S84" s="671"/>
      <c r="T84" s="671"/>
      <c r="U84" s="671"/>
      <c r="V84" s="671"/>
      <c r="W84" s="671"/>
      <c r="X84" s="671"/>
    </row>
    <row r="85" spans="8:24" x14ac:dyDescent="0.35">
      <c r="H85" s="671"/>
      <c r="I85" s="671"/>
      <c r="J85" s="671"/>
      <c r="K85" s="671"/>
      <c r="L85" s="671"/>
      <c r="M85" s="671"/>
      <c r="N85" s="671"/>
      <c r="O85" s="671"/>
      <c r="P85" s="671"/>
      <c r="Q85" s="671"/>
      <c r="R85" s="671"/>
      <c r="S85" s="671"/>
      <c r="T85" s="671"/>
      <c r="U85" s="671"/>
      <c r="V85" s="671"/>
      <c r="W85" s="671"/>
      <c r="X85" s="671"/>
    </row>
    <row r="86" spans="8:24" x14ac:dyDescent="0.35">
      <c r="H86" s="671"/>
      <c r="I86" s="671"/>
      <c r="J86" s="671"/>
      <c r="K86" s="671"/>
      <c r="L86" s="671"/>
      <c r="M86" s="671"/>
      <c r="N86" s="671"/>
      <c r="O86" s="671"/>
      <c r="P86" s="671"/>
      <c r="Q86" s="671"/>
      <c r="R86" s="671"/>
      <c r="S86" s="671"/>
      <c r="T86" s="671"/>
      <c r="U86" s="671"/>
      <c r="V86" s="671"/>
      <c r="W86" s="671"/>
      <c r="X86" s="671"/>
    </row>
    <row r="87" spans="8:24" x14ac:dyDescent="0.35">
      <c r="H87" s="671"/>
      <c r="I87" s="671"/>
      <c r="J87" s="671"/>
      <c r="K87" s="671"/>
      <c r="L87" s="671"/>
      <c r="M87" s="671"/>
      <c r="N87" s="671"/>
      <c r="O87" s="671"/>
      <c r="P87" s="671"/>
      <c r="Q87" s="671"/>
      <c r="R87" s="671"/>
      <c r="S87" s="671"/>
      <c r="T87" s="671"/>
      <c r="U87" s="671"/>
      <c r="V87" s="671"/>
      <c r="W87" s="671"/>
      <c r="X87" s="671"/>
    </row>
    <row r="88" spans="8:24" x14ac:dyDescent="0.35">
      <c r="H88" s="671"/>
      <c r="I88" s="671"/>
      <c r="J88" s="671"/>
      <c r="K88" s="671"/>
      <c r="L88" s="671"/>
      <c r="M88" s="671"/>
      <c r="N88" s="671"/>
      <c r="O88" s="671"/>
      <c r="P88" s="671"/>
      <c r="Q88" s="671"/>
      <c r="R88" s="671"/>
      <c r="S88" s="671"/>
      <c r="T88" s="671"/>
      <c r="U88" s="671"/>
      <c r="V88" s="671"/>
      <c r="W88" s="671"/>
      <c r="X88" s="671"/>
    </row>
    <row r="89" spans="8:24" x14ac:dyDescent="0.35">
      <c r="H89" s="671"/>
      <c r="I89" s="671"/>
      <c r="J89" s="671"/>
      <c r="K89" s="671"/>
      <c r="L89" s="671"/>
      <c r="M89" s="671"/>
      <c r="N89" s="671"/>
      <c r="O89" s="671"/>
      <c r="P89" s="671"/>
      <c r="Q89" s="671"/>
      <c r="R89" s="671"/>
      <c r="S89" s="671"/>
      <c r="T89" s="671"/>
      <c r="U89" s="671"/>
      <c r="V89" s="671"/>
      <c r="W89" s="671"/>
      <c r="X89" s="671"/>
    </row>
    <row r="90" spans="8:24" x14ac:dyDescent="0.35">
      <c r="H90" s="671"/>
      <c r="I90" s="671"/>
      <c r="J90" s="671"/>
      <c r="K90" s="671"/>
      <c r="L90" s="671"/>
      <c r="M90" s="671"/>
      <c r="N90" s="671"/>
      <c r="O90" s="671"/>
      <c r="P90" s="671"/>
      <c r="Q90" s="671"/>
      <c r="R90" s="671"/>
      <c r="S90" s="671"/>
      <c r="T90" s="671"/>
      <c r="U90" s="671"/>
      <c r="V90" s="671"/>
      <c r="W90" s="671"/>
      <c r="X90" s="671"/>
    </row>
    <row r="91" spans="8:24" x14ac:dyDescent="0.35">
      <c r="H91" s="671"/>
      <c r="I91" s="671"/>
      <c r="J91" s="671"/>
      <c r="K91" s="671"/>
      <c r="L91" s="671"/>
      <c r="M91" s="671"/>
      <c r="N91" s="671"/>
      <c r="O91" s="671"/>
      <c r="P91" s="671"/>
      <c r="Q91" s="671"/>
      <c r="R91" s="671"/>
      <c r="S91" s="671"/>
      <c r="T91" s="671"/>
      <c r="U91" s="671"/>
      <c r="V91" s="671"/>
      <c r="W91" s="671"/>
      <c r="X91" s="671"/>
    </row>
    <row r="92" spans="8:24" x14ac:dyDescent="0.35">
      <c r="H92" s="671"/>
      <c r="I92" s="671"/>
      <c r="J92" s="671"/>
      <c r="K92" s="671"/>
      <c r="L92" s="671"/>
      <c r="M92" s="671"/>
      <c r="N92" s="671"/>
      <c r="O92" s="671"/>
      <c r="P92" s="671"/>
      <c r="Q92" s="671"/>
      <c r="R92" s="671"/>
      <c r="S92" s="671"/>
      <c r="T92" s="671"/>
      <c r="U92" s="671"/>
      <c r="V92" s="671"/>
      <c r="W92" s="671"/>
      <c r="X92" s="671"/>
    </row>
    <row r="93" spans="8:24" x14ac:dyDescent="0.35">
      <c r="H93" s="671"/>
      <c r="I93" s="671"/>
      <c r="J93" s="671"/>
      <c r="K93" s="671"/>
      <c r="L93" s="671"/>
      <c r="M93" s="671"/>
      <c r="N93" s="671"/>
      <c r="O93" s="671"/>
      <c r="P93" s="671"/>
      <c r="Q93" s="671"/>
      <c r="R93" s="671"/>
      <c r="S93" s="671"/>
      <c r="T93" s="671"/>
      <c r="U93" s="671"/>
      <c r="V93" s="671"/>
      <c r="W93" s="671"/>
      <c r="X93" s="671"/>
    </row>
    <row r="94" spans="8:24" x14ac:dyDescent="0.35">
      <c r="H94" s="671"/>
      <c r="I94" s="671"/>
      <c r="J94" s="671"/>
      <c r="K94" s="671"/>
      <c r="L94" s="671"/>
      <c r="M94" s="671"/>
      <c r="N94" s="671"/>
      <c r="O94" s="671"/>
      <c r="P94" s="671"/>
      <c r="Q94" s="671"/>
      <c r="R94" s="671"/>
      <c r="S94" s="671"/>
      <c r="T94" s="671"/>
      <c r="U94" s="671"/>
      <c r="V94" s="671"/>
      <c r="W94" s="671"/>
      <c r="X94" s="671"/>
    </row>
    <row r="95" spans="8:24" x14ac:dyDescent="0.35">
      <c r="H95" s="671"/>
      <c r="I95" s="671"/>
      <c r="J95" s="671"/>
      <c r="K95" s="671"/>
      <c r="L95" s="671"/>
      <c r="M95" s="671"/>
      <c r="N95" s="671"/>
      <c r="O95" s="671"/>
      <c r="P95" s="671"/>
      <c r="Q95" s="671"/>
      <c r="R95" s="671"/>
      <c r="S95" s="671"/>
      <c r="T95" s="671"/>
      <c r="U95" s="671"/>
      <c r="V95" s="671"/>
      <c r="W95" s="671"/>
      <c r="X95" s="671"/>
    </row>
    <row r="96" spans="8:24" x14ac:dyDescent="0.35">
      <c r="H96" s="671"/>
      <c r="I96" s="671"/>
      <c r="J96" s="671"/>
      <c r="K96" s="671"/>
      <c r="L96" s="671"/>
      <c r="M96" s="671"/>
      <c r="N96" s="671"/>
      <c r="O96" s="671"/>
      <c r="P96" s="671"/>
      <c r="Q96" s="671"/>
      <c r="R96" s="671"/>
      <c r="S96" s="671"/>
      <c r="T96" s="671"/>
      <c r="U96" s="671"/>
      <c r="V96" s="671"/>
      <c r="W96" s="671"/>
      <c r="X96" s="671"/>
    </row>
    <row r="97" spans="8:24" x14ac:dyDescent="0.35">
      <c r="H97" s="671"/>
      <c r="I97" s="671"/>
      <c r="J97" s="671"/>
      <c r="K97" s="671"/>
      <c r="L97" s="671"/>
      <c r="M97" s="671"/>
      <c r="N97" s="671"/>
      <c r="O97" s="671"/>
      <c r="P97" s="671"/>
      <c r="Q97" s="671"/>
      <c r="R97" s="671"/>
      <c r="S97" s="671"/>
      <c r="T97" s="671"/>
      <c r="U97" s="671"/>
      <c r="V97" s="671"/>
      <c r="W97" s="671"/>
      <c r="X97" s="671"/>
    </row>
    <row r="98" spans="8:24" x14ac:dyDescent="0.35">
      <c r="H98" s="671"/>
      <c r="I98" s="671"/>
      <c r="J98" s="671"/>
      <c r="K98" s="671"/>
      <c r="L98" s="671"/>
      <c r="M98" s="671"/>
      <c r="N98" s="671"/>
      <c r="O98" s="671"/>
      <c r="P98" s="671"/>
      <c r="Q98" s="671"/>
      <c r="R98" s="671"/>
      <c r="S98" s="671"/>
      <c r="T98" s="671"/>
      <c r="U98" s="671"/>
      <c r="V98" s="671"/>
      <c r="W98" s="671"/>
      <c r="X98" s="671"/>
    </row>
    <row r="99" spans="8:24" x14ac:dyDescent="0.35">
      <c r="H99" s="671"/>
      <c r="I99" s="671"/>
      <c r="J99" s="671"/>
      <c r="K99" s="671"/>
      <c r="L99" s="671"/>
      <c r="M99" s="671"/>
      <c r="N99" s="671"/>
      <c r="O99" s="671"/>
      <c r="P99" s="671"/>
      <c r="Q99" s="671"/>
      <c r="R99" s="671"/>
      <c r="S99" s="671"/>
      <c r="T99" s="671"/>
      <c r="U99" s="671"/>
      <c r="V99" s="671"/>
      <c r="W99" s="671"/>
      <c r="X99" s="671"/>
    </row>
    <row r="100" spans="8:24" x14ac:dyDescent="0.35">
      <c r="H100" s="671"/>
      <c r="I100" s="671"/>
      <c r="J100" s="671"/>
      <c r="K100" s="671"/>
      <c r="L100" s="671"/>
      <c r="M100" s="671"/>
      <c r="N100" s="671"/>
      <c r="O100" s="671"/>
      <c r="P100" s="671"/>
      <c r="Q100" s="671"/>
      <c r="R100" s="671"/>
      <c r="S100" s="671"/>
      <c r="T100" s="671"/>
      <c r="U100" s="671"/>
      <c r="V100" s="671"/>
      <c r="W100" s="671"/>
      <c r="X100" s="671"/>
    </row>
    <row r="101" spans="8:24" x14ac:dyDescent="0.35">
      <c r="H101" s="671"/>
      <c r="I101" s="671"/>
      <c r="J101" s="671"/>
      <c r="K101" s="671"/>
      <c r="L101" s="671"/>
      <c r="M101" s="671"/>
      <c r="N101" s="671"/>
      <c r="O101" s="671"/>
      <c r="P101" s="671"/>
      <c r="Q101" s="671"/>
      <c r="R101" s="671"/>
      <c r="S101" s="671"/>
      <c r="T101" s="671"/>
      <c r="U101" s="671"/>
      <c r="V101" s="671"/>
      <c r="W101" s="671"/>
      <c r="X101" s="671"/>
    </row>
    <row r="102" spans="8:24" x14ac:dyDescent="0.35">
      <c r="H102" s="671"/>
      <c r="I102" s="671"/>
      <c r="J102" s="671"/>
      <c r="K102" s="671"/>
      <c r="L102" s="671"/>
      <c r="M102" s="671"/>
      <c r="N102" s="671"/>
      <c r="O102" s="671"/>
      <c r="P102" s="671"/>
      <c r="Q102" s="671"/>
      <c r="R102" s="671"/>
      <c r="S102" s="671"/>
      <c r="T102" s="671"/>
      <c r="U102" s="671"/>
      <c r="V102" s="671"/>
      <c r="W102" s="671"/>
      <c r="X102" s="671"/>
    </row>
    <row r="103" spans="8:24" x14ac:dyDescent="0.35">
      <c r="H103" s="671"/>
      <c r="I103" s="671"/>
      <c r="J103" s="671"/>
      <c r="K103" s="671"/>
      <c r="L103" s="671"/>
      <c r="M103" s="671"/>
      <c r="N103" s="671"/>
      <c r="O103" s="671"/>
      <c r="P103" s="671"/>
      <c r="Q103" s="671"/>
      <c r="R103" s="671"/>
      <c r="S103" s="671"/>
      <c r="T103" s="671"/>
      <c r="U103" s="671"/>
      <c r="V103" s="671"/>
      <c r="W103" s="671"/>
      <c r="X103" s="671"/>
    </row>
    <row r="104" spans="8:24" x14ac:dyDescent="0.35">
      <c r="H104" s="671"/>
      <c r="I104" s="671"/>
      <c r="J104" s="671"/>
      <c r="K104" s="671"/>
      <c r="L104" s="671"/>
      <c r="M104" s="671"/>
      <c r="N104" s="671"/>
      <c r="O104" s="671"/>
      <c r="P104" s="671"/>
      <c r="Q104" s="671"/>
      <c r="R104" s="671"/>
      <c r="S104" s="671"/>
      <c r="T104" s="671"/>
      <c r="U104" s="671"/>
      <c r="V104" s="671"/>
      <c r="W104" s="671"/>
      <c r="X104" s="671"/>
    </row>
    <row r="105" spans="8:24" x14ac:dyDescent="0.35">
      <c r="H105" s="671"/>
      <c r="I105" s="671"/>
      <c r="J105" s="671"/>
      <c r="K105" s="671"/>
      <c r="L105" s="671"/>
      <c r="M105" s="671"/>
      <c r="N105" s="671"/>
      <c r="O105" s="671"/>
      <c r="P105" s="671"/>
      <c r="Q105" s="671"/>
      <c r="R105" s="671"/>
      <c r="S105" s="671"/>
      <c r="T105" s="671"/>
      <c r="U105" s="671"/>
      <c r="V105" s="671"/>
      <c r="W105" s="671"/>
      <c r="X105" s="671"/>
    </row>
    <row r="106" spans="8:24" x14ac:dyDescent="0.35">
      <c r="H106" s="671"/>
      <c r="I106" s="671"/>
      <c r="J106" s="671"/>
      <c r="K106" s="671"/>
      <c r="L106" s="671"/>
      <c r="M106" s="671"/>
      <c r="N106" s="671"/>
      <c r="O106" s="671"/>
      <c r="P106" s="671"/>
      <c r="Q106" s="671"/>
      <c r="R106" s="671"/>
      <c r="S106" s="671"/>
      <c r="T106" s="671"/>
      <c r="U106" s="671"/>
      <c r="V106" s="671"/>
      <c r="W106" s="671"/>
      <c r="X106" s="671"/>
    </row>
    <row r="107" spans="8:24" x14ac:dyDescent="0.35">
      <c r="H107" s="671"/>
      <c r="I107" s="671"/>
      <c r="J107" s="671"/>
      <c r="K107" s="671"/>
      <c r="L107" s="671"/>
      <c r="M107" s="671"/>
      <c r="N107" s="671"/>
      <c r="O107" s="671"/>
      <c r="P107" s="671"/>
      <c r="Q107" s="671"/>
      <c r="R107" s="671"/>
      <c r="S107" s="671"/>
      <c r="T107" s="671"/>
      <c r="U107" s="671"/>
      <c r="V107" s="671"/>
      <c r="W107" s="671"/>
      <c r="X107" s="671"/>
    </row>
    <row r="108" spans="8:24" x14ac:dyDescent="0.35">
      <c r="H108" s="671"/>
      <c r="I108" s="671"/>
      <c r="J108" s="671"/>
      <c r="K108" s="671"/>
      <c r="L108" s="671"/>
      <c r="M108" s="671"/>
      <c r="N108" s="671"/>
      <c r="O108" s="671"/>
      <c r="P108" s="671"/>
      <c r="Q108" s="671"/>
      <c r="R108" s="671"/>
      <c r="S108" s="671"/>
      <c r="T108" s="671"/>
      <c r="U108" s="671"/>
      <c r="V108" s="671"/>
      <c r="W108" s="671"/>
      <c r="X108" s="671"/>
    </row>
    <row r="109" spans="8:24" x14ac:dyDescent="0.35">
      <c r="H109" s="671"/>
      <c r="I109" s="671"/>
      <c r="J109" s="671"/>
      <c r="K109" s="671"/>
      <c r="L109" s="671"/>
      <c r="M109" s="671"/>
      <c r="N109" s="671"/>
      <c r="O109" s="671"/>
      <c r="P109" s="671"/>
      <c r="Q109" s="671"/>
      <c r="R109" s="671"/>
      <c r="S109" s="671"/>
      <c r="T109" s="671"/>
      <c r="U109" s="671"/>
      <c r="V109" s="671"/>
      <c r="W109" s="671"/>
      <c r="X109" s="671"/>
    </row>
    <row r="110" spans="8:24" x14ac:dyDescent="0.35">
      <c r="H110" s="671"/>
      <c r="I110" s="671"/>
      <c r="J110" s="671"/>
      <c r="K110" s="671"/>
      <c r="L110" s="671"/>
      <c r="M110" s="671"/>
      <c r="N110" s="671"/>
      <c r="O110" s="671"/>
      <c r="P110" s="671"/>
      <c r="Q110" s="671"/>
      <c r="R110" s="671"/>
      <c r="S110" s="671"/>
      <c r="T110" s="671"/>
      <c r="U110" s="671"/>
      <c r="V110" s="671"/>
      <c r="W110" s="671"/>
      <c r="X110" s="671"/>
    </row>
    <row r="111" spans="8:24" x14ac:dyDescent="0.35">
      <c r="H111" s="671"/>
      <c r="I111" s="671"/>
      <c r="J111" s="671"/>
      <c r="K111" s="671"/>
      <c r="L111" s="671"/>
      <c r="M111" s="671"/>
      <c r="N111" s="671"/>
      <c r="O111" s="671"/>
      <c r="P111" s="671"/>
      <c r="Q111" s="671"/>
      <c r="R111" s="671"/>
      <c r="S111" s="671"/>
      <c r="T111" s="671"/>
      <c r="U111" s="671"/>
      <c r="V111" s="671"/>
      <c r="W111" s="671"/>
      <c r="X111" s="671"/>
    </row>
    <row r="112" spans="8:24" x14ac:dyDescent="0.35">
      <c r="H112" s="671"/>
      <c r="I112" s="671"/>
      <c r="J112" s="671"/>
      <c r="K112" s="671"/>
      <c r="L112" s="671"/>
      <c r="M112" s="671"/>
      <c r="N112" s="671"/>
      <c r="O112" s="671"/>
      <c r="P112" s="671"/>
      <c r="Q112" s="671"/>
      <c r="R112" s="671"/>
      <c r="S112" s="671"/>
      <c r="T112" s="671"/>
      <c r="U112" s="671"/>
      <c r="V112" s="671"/>
      <c r="W112" s="671"/>
      <c r="X112" s="671"/>
    </row>
    <row r="113" spans="8:24" x14ac:dyDescent="0.35">
      <c r="H113" s="671"/>
      <c r="I113" s="671"/>
      <c r="J113" s="671"/>
      <c r="K113" s="671"/>
      <c r="L113" s="671"/>
      <c r="M113" s="671"/>
      <c r="N113" s="671"/>
      <c r="O113" s="671"/>
      <c r="P113" s="671"/>
      <c r="Q113" s="671"/>
      <c r="R113" s="671"/>
      <c r="S113" s="671"/>
      <c r="T113" s="671"/>
      <c r="U113" s="671"/>
      <c r="V113" s="671"/>
      <c r="W113" s="671"/>
      <c r="X113" s="671"/>
    </row>
    <row r="114" spans="8:24" x14ac:dyDescent="0.35">
      <c r="H114" s="671"/>
      <c r="I114" s="671"/>
      <c r="J114" s="671"/>
      <c r="K114" s="671"/>
      <c r="L114" s="671"/>
      <c r="M114" s="671"/>
      <c r="N114" s="671"/>
      <c r="O114" s="671"/>
      <c r="P114" s="671"/>
      <c r="Q114" s="671"/>
      <c r="R114" s="671"/>
      <c r="S114" s="671"/>
      <c r="T114" s="671"/>
      <c r="U114" s="671"/>
      <c r="V114" s="671"/>
      <c r="W114" s="671"/>
      <c r="X114" s="671"/>
    </row>
    <row r="115" spans="8:24" x14ac:dyDescent="0.35">
      <c r="H115" s="671"/>
      <c r="I115" s="671"/>
      <c r="J115" s="671"/>
      <c r="K115" s="671"/>
      <c r="L115" s="671"/>
      <c r="M115" s="671"/>
      <c r="N115" s="671"/>
      <c r="O115" s="671"/>
      <c r="P115" s="671"/>
      <c r="Q115" s="671"/>
      <c r="R115" s="671"/>
      <c r="S115" s="671"/>
      <c r="T115" s="671"/>
      <c r="U115" s="671"/>
      <c r="V115" s="671"/>
      <c r="W115" s="671"/>
      <c r="X115" s="671"/>
    </row>
    <row r="116" spans="8:24" x14ac:dyDescent="0.35">
      <c r="H116" s="671"/>
      <c r="I116" s="671"/>
      <c r="J116" s="671"/>
      <c r="K116" s="671"/>
      <c r="L116" s="671"/>
      <c r="M116" s="671"/>
      <c r="N116" s="671"/>
      <c r="O116" s="671"/>
      <c r="P116" s="671"/>
      <c r="Q116" s="671"/>
      <c r="R116" s="671"/>
      <c r="S116" s="671"/>
      <c r="T116" s="671"/>
      <c r="U116" s="671"/>
      <c r="V116" s="671"/>
      <c r="W116" s="671"/>
      <c r="X116" s="671"/>
    </row>
    <row r="117" spans="8:24" x14ac:dyDescent="0.35">
      <c r="H117" s="671"/>
      <c r="I117" s="671"/>
      <c r="J117" s="671"/>
      <c r="K117" s="671"/>
      <c r="L117" s="671"/>
      <c r="M117" s="671"/>
      <c r="N117" s="671"/>
      <c r="O117" s="671"/>
      <c r="P117" s="671"/>
      <c r="Q117" s="671"/>
      <c r="R117" s="671"/>
      <c r="S117" s="671"/>
      <c r="T117" s="671"/>
      <c r="U117" s="671"/>
      <c r="V117" s="671"/>
      <c r="W117" s="671"/>
      <c r="X117" s="671"/>
    </row>
    <row r="118" spans="8:24" x14ac:dyDescent="0.35">
      <c r="H118" s="671"/>
      <c r="I118" s="671"/>
      <c r="J118" s="671"/>
      <c r="K118" s="671"/>
      <c r="L118" s="671"/>
      <c r="M118" s="671"/>
      <c r="N118" s="671"/>
      <c r="O118" s="671"/>
      <c r="P118" s="671"/>
      <c r="Q118" s="671"/>
      <c r="R118" s="671"/>
      <c r="S118" s="671"/>
      <c r="T118" s="671"/>
      <c r="U118" s="671"/>
      <c r="V118" s="671"/>
      <c r="W118" s="671"/>
      <c r="X118" s="671"/>
    </row>
    <row r="119" spans="8:24" x14ac:dyDescent="0.35">
      <c r="H119" s="671"/>
      <c r="I119" s="671"/>
      <c r="J119" s="671"/>
      <c r="K119" s="671"/>
      <c r="L119" s="671"/>
      <c r="M119" s="671"/>
      <c r="N119" s="671"/>
      <c r="O119" s="671"/>
      <c r="P119" s="671"/>
      <c r="Q119" s="671"/>
      <c r="R119" s="671"/>
      <c r="S119" s="671"/>
      <c r="T119" s="671"/>
      <c r="U119" s="671"/>
      <c r="V119" s="671"/>
      <c r="W119" s="671"/>
      <c r="X119" s="671"/>
    </row>
    <row r="120" spans="8:24" x14ac:dyDescent="0.35">
      <c r="H120" s="671"/>
      <c r="I120" s="671"/>
      <c r="J120" s="671"/>
      <c r="K120" s="671"/>
      <c r="L120" s="671"/>
      <c r="M120" s="671"/>
      <c r="N120" s="671"/>
      <c r="O120" s="671"/>
      <c r="P120" s="671"/>
      <c r="Q120" s="671"/>
      <c r="R120" s="671"/>
      <c r="S120" s="671"/>
      <c r="T120" s="671"/>
      <c r="U120" s="671"/>
      <c r="V120" s="671"/>
      <c r="W120" s="671"/>
      <c r="X120" s="671"/>
    </row>
    <row r="121" spans="8:24" x14ac:dyDescent="0.35">
      <c r="H121" s="671"/>
      <c r="I121" s="671"/>
      <c r="J121" s="671"/>
      <c r="K121" s="671"/>
      <c r="L121" s="671"/>
      <c r="M121" s="671"/>
      <c r="N121" s="671"/>
      <c r="O121" s="671"/>
      <c r="P121" s="671"/>
      <c r="Q121" s="671"/>
      <c r="R121" s="671"/>
      <c r="S121" s="671"/>
      <c r="T121" s="671"/>
      <c r="U121" s="671"/>
      <c r="V121" s="671"/>
      <c r="W121" s="671"/>
      <c r="X121" s="671"/>
    </row>
    <row r="122" spans="8:24" x14ac:dyDescent="0.35">
      <c r="H122" s="671"/>
      <c r="I122" s="671"/>
      <c r="J122" s="671"/>
      <c r="K122" s="671"/>
      <c r="L122" s="671"/>
      <c r="M122" s="671"/>
      <c r="N122" s="671"/>
      <c r="O122" s="671"/>
      <c r="P122" s="671"/>
      <c r="Q122" s="671"/>
      <c r="R122" s="671"/>
      <c r="S122" s="671"/>
      <c r="T122" s="671"/>
      <c r="U122" s="671"/>
      <c r="V122" s="671"/>
      <c r="W122" s="671"/>
      <c r="X122" s="671"/>
    </row>
    <row r="123" spans="8:24" x14ac:dyDescent="0.35">
      <c r="H123" s="671"/>
      <c r="I123" s="671"/>
      <c r="J123" s="671"/>
      <c r="K123" s="671"/>
      <c r="L123" s="671"/>
      <c r="M123" s="671"/>
      <c r="N123" s="671"/>
      <c r="O123" s="671"/>
      <c r="P123" s="671"/>
      <c r="Q123" s="671"/>
      <c r="R123" s="671"/>
      <c r="S123" s="671"/>
      <c r="T123" s="671"/>
      <c r="U123" s="671"/>
      <c r="V123" s="671"/>
      <c r="W123" s="671"/>
      <c r="X123" s="671"/>
    </row>
    <row r="124" spans="8:24" x14ac:dyDescent="0.35">
      <c r="H124" s="671"/>
      <c r="I124" s="671"/>
      <c r="J124" s="671"/>
      <c r="K124" s="671"/>
      <c r="L124" s="671"/>
      <c r="M124" s="671"/>
      <c r="N124" s="671"/>
      <c r="O124" s="671"/>
      <c r="P124" s="671"/>
      <c r="Q124" s="671"/>
      <c r="R124" s="671"/>
      <c r="S124" s="671"/>
      <c r="T124" s="671"/>
      <c r="U124" s="671"/>
      <c r="V124" s="671"/>
      <c r="W124" s="671"/>
      <c r="X124" s="671"/>
    </row>
    <row r="125" spans="8:24" x14ac:dyDescent="0.35">
      <c r="H125" s="671"/>
      <c r="I125" s="671"/>
      <c r="J125" s="671"/>
      <c r="K125" s="671"/>
      <c r="L125" s="671"/>
      <c r="M125" s="671"/>
      <c r="N125" s="671"/>
      <c r="O125" s="671"/>
      <c r="P125" s="671"/>
      <c r="Q125" s="671"/>
      <c r="R125" s="671"/>
      <c r="S125" s="671"/>
      <c r="T125" s="671"/>
      <c r="U125" s="671"/>
      <c r="V125" s="671"/>
      <c r="W125" s="671"/>
      <c r="X125" s="671"/>
    </row>
    <row r="126" spans="8:24" x14ac:dyDescent="0.35">
      <c r="H126" s="671"/>
      <c r="I126" s="671"/>
      <c r="J126" s="671"/>
      <c r="K126" s="671"/>
      <c r="L126" s="671"/>
      <c r="M126" s="671"/>
      <c r="N126" s="671"/>
      <c r="O126" s="671"/>
      <c r="P126" s="671"/>
      <c r="Q126" s="671"/>
      <c r="R126" s="671"/>
      <c r="S126" s="671"/>
      <c r="T126" s="671"/>
      <c r="U126" s="671"/>
      <c r="V126" s="671"/>
      <c r="W126" s="671"/>
      <c r="X126" s="671"/>
    </row>
    <row r="127" spans="8:24" x14ac:dyDescent="0.35">
      <c r="H127" s="671"/>
      <c r="I127" s="671"/>
      <c r="J127" s="671"/>
      <c r="K127" s="671"/>
      <c r="L127" s="671"/>
      <c r="M127" s="671"/>
      <c r="N127" s="671"/>
      <c r="O127" s="671"/>
      <c r="P127" s="671"/>
      <c r="Q127" s="671"/>
      <c r="R127" s="671"/>
      <c r="S127" s="671"/>
      <c r="T127" s="671"/>
      <c r="U127" s="671"/>
      <c r="V127" s="671"/>
      <c r="W127" s="671"/>
      <c r="X127" s="671"/>
    </row>
    <row r="128" spans="8:24" x14ac:dyDescent="0.35">
      <c r="H128" s="671"/>
      <c r="I128" s="671"/>
      <c r="J128" s="671"/>
      <c r="K128" s="671"/>
      <c r="L128" s="671"/>
      <c r="M128" s="671"/>
      <c r="N128" s="671"/>
      <c r="O128" s="671"/>
      <c r="P128" s="671"/>
      <c r="Q128" s="671"/>
      <c r="R128" s="671"/>
      <c r="S128" s="671"/>
      <c r="T128" s="671"/>
      <c r="U128" s="671"/>
      <c r="V128" s="671"/>
      <c r="W128" s="671"/>
      <c r="X128" s="671"/>
    </row>
    <row r="129" spans="8:24" x14ac:dyDescent="0.35">
      <c r="H129" s="671"/>
      <c r="I129" s="671"/>
      <c r="J129" s="671"/>
      <c r="K129" s="671"/>
      <c r="L129" s="671"/>
      <c r="M129" s="671"/>
      <c r="N129" s="671"/>
      <c r="O129" s="671"/>
      <c r="P129" s="671"/>
      <c r="Q129" s="671"/>
      <c r="R129" s="671"/>
      <c r="S129" s="671"/>
      <c r="T129" s="671"/>
      <c r="U129" s="671"/>
      <c r="V129" s="671"/>
      <c r="W129" s="671"/>
      <c r="X129" s="671"/>
    </row>
    <row r="130" spans="8:24" x14ac:dyDescent="0.35">
      <c r="H130" s="671"/>
      <c r="I130" s="671"/>
      <c r="J130" s="671"/>
      <c r="K130" s="671"/>
      <c r="L130" s="671"/>
      <c r="M130" s="671"/>
      <c r="N130" s="671"/>
      <c r="O130" s="671"/>
      <c r="P130" s="671"/>
      <c r="Q130" s="671"/>
      <c r="R130" s="671"/>
      <c r="S130" s="671"/>
      <c r="T130" s="671"/>
      <c r="U130" s="671"/>
      <c r="V130" s="671"/>
      <c r="W130" s="671"/>
      <c r="X130" s="671"/>
    </row>
    <row r="131" spans="8:24" x14ac:dyDescent="0.35">
      <c r="H131" s="671"/>
      <c r="I131" s="671"/>
      <c r="J131" s="671"/>
      <c r="K131" s="671"/>
      <c r="L131" s="671"/>
      <c r="M131" s="671"/>
      <c r="N131" s="671"/>
      <c r="O131" s="671"/>
      <c r="P131" s="671"/>
      <c r="Q131" s="671"/>
      <c r="R131" s="671"/>
      <c r="S131" s="671"/>
      <c r="T131" s="671"/>
      <c r="U131" s="671"/>
      <c r="V131" s="671"/>
      <c r="W131" s="671"/>
      <c r="X131" s="671"/>
    </row>
    <row r="132" spans="8:24" x14ac:dyDescent="0.35">
      <c r="H132" s="671"/>
      <c r="I132" s="671"/>
      <c r="J132" s="671"/>
      <c r="K132" s="671"/>
      <c r="L132" s="671"/>
      <c r="M132" s="671"/>
      <c r="N132" s="671"/>
      <c r="O132" s="671"/>
      <c r="P132" s="671"/>
      <c r="Q132" s="671"/>
      <c r="R132" s="671"/>
      <c r="S132" s="671"/>
      <c r="T132" s="671"/>
      <c r="U132" s="671"/>
      <c r="V132" s="671"/>
      <c r="W132" s="671"/>
      <c r="X132" s="671"/>
    </row>
    <row r="133" spans="8:24" x14ac:dyDescent="0.35">
      <c r="H133" s="671"/>
      <c r="I133" s="671"/>
      <c r="J133" s="671"/>
      <c r="K133" s="671"/>
      <c r="L133" s="671"/>
      <c r="M133" s="671"/>
      <c r="N133" s="671"/>
      <c r="O133" s="671"/>
      <c r="P133" s="671"/>
      <c r="Q133" s="671"/>
      <c r="R133" s="671"/>
      <c r="S133" s="671"/>
      <c r="T133" s="671"/>
      <c r="U133" s="671"/>
      <c r="V133" s="671"/>
      <c r="W133" s="671"/>
      <c r="X133" s="671"/>
    </row>
    <row r="134" spans="8:24" x14ac:dyDescent="0.35">
      <c r="H134" s="671"/>
      <c r="I134" s="671"/>
      <c r="J134" s="671"/>
      <c r="K134" s="671"/>
      <c r="L134" s="671"/>
      <c r="M134" s="671"/>
      <c r="N134" s="671"/>
      <c r="O134" s="671"/>
      <c r="P134" s="671"/>
      <c r="Q134" s="671"/>
      <c r="R134" s="671"/>
      <c r="S134" s="671"/>
      <c r="T134" s="671"/>
      <c r="U134" s="671"/>
      <c r="V134" s="671"/>
      <c r="W134" s="671"/>
      <c r="X134" s="671"/>
    </row>
    <row r="135" spans="8:24" x14ac:dyDescent="0.35">
      <c r="H135" s="671"/>
      <c r="I135" s="671"/>
      <c r="J135" s="671"/>
      <c r="K135" s="671"/>
      <c r="L135" s="671"/>
      <c r="M135" s="671"/>
      <c r="N135" s="671"/>
      <c r="O135" s="671"/>
      <c r="P135" s="671"/>
      <c r="Q135" s="671"/>
      <c r="R135" s="671"/>
      <c r="S135" s="671"/>
      <c r="T135" s="671"/>
      <c r="U135" s="671"/>
      <c r="V135" s="671"/>
      <c r="W135" s="671"/>
      <c r="X135" s="671"/>
    </row>
    <row r="136" spans="8:24" x14ac:dyDescent="0.35">
      <c r="H136" s="671"/>
      <c r="I136" s="671"/>
      <c r="J136" s="671"/>
      <c r="K136" s="671"/>
      <c r="L136" s="671"/>
      <c r="M136" s="671"/>
      <c r="N136" s="671"/>
      <c r="O136" s="671"/>
      <c r="P136" s="671"/>
      <c r="Q136" s="671"/>
      <c r="R136" s="671"/>
      <c r="S136" s="671"/>
      <c r="T136" s="671"/>
      <c r="U136" s="671"/>
      <c r="V136" s="671"/>
      <c r="W136" s="671"/>
      <c r="X136" s="671"/>
    </row>
    <row r="137" spans="8:24" x14ac:dyDescent="0.35">
      <c r="H137" s="671"/>
      <c r="I137" s="671"/>
      <c r="J137" s="671"/>
      <c r="K137" s="671"/>
      <c r="L137" s="671"/>
      <c r="M137" s="671"/>
      <c r="N137" s="671"/>
      <c r="O137" s="671"/>
      <c r="P137" s="671"/>
      <c r="Q137" s="671"/>
      <c r="R137" s="671"/>
      <c r="S137" s="671"/>
      <c r="T137" s="671"/>
      <c r="U137" s="671"/>
      <c r="V137" s="671"/>
      <c r="W137" s="671"/>
      <c r="X137" s="671"/>
    </row>
    <row r="138" spans="8:24" x14ac:dyDescent="0.35">
      <c r="H138" s="671"/>
      <c r="I138" s="671"/>
      <c r="J138" s="671"/>
      <c r="K138" s="671"/>
      <c r="L138" s="671"/>
      <c r="M138" s="671"/>
      <c r="N138" s="671"/>
      <c r="O138" s="671"/>
      <c r="P138" s="671"/>
      <c r="Q138" s="671"/>
      <c r="R138" s="671"/>
      <c r="S138" s="671"/>
      <c r="T138" s="671"/>
      <c r="U138" s="671"/>
      <c r="V138" s="671"/>
      <c r="W138" s="671"/>
      <c r="X138" s="671"/>
    </row>
    <row r="139" spans="8:24" x14ac:dyDescent="0.35">
      <c r="H139" s="671"/>
      <c r="I139" s="671"/>
      <c r="J139" s="671"/>
      <c r="K139" s="671"/>
      <c r="L139" s="671"/>
      <c r="M139" s="671"/>
      <c r="N139" s="671"/>
      <c r="O139" s="671"/>
      <c r="P139" s="671"/>
      <c r="Q139" s="671"/>
      <c r="R139" s="671"/>
      <c r="S139" s="671"/>
      <c r="T139" s="671"/>
      <c r="U139" s="671"/>
      <c r="V139" s="671"/>
      <c r="W139" s="671"/>
      <c r="X139" s="671"/>
    </row>
    <row r="140" spans="8:24" x14ac:dyDescent="0.35">
      <c r="H140" s="671"/>
      <c r="I140" s="671"/>
      <c r="J140" s="671"/>
      <c r="K140" s="671"/>
      <c r="L140" s="671"/>
      <c r="M140" s="671"/>
      <c r="N140" s="671"/>
      <c r="O140" s="671"/>
      <c r="P140" s="671"/>
      <c r="Q140" s="671"/>
      <c r="R140" s="671"/>
      <c r="S140" s="671"/>
      <c r="T140" s="671"/>
      <c r="U140" s="671"/>
      <c r="V140" s="671"/>
      <c r="W140" s="671"/>
      <c r="X140" s="671"/>
    </row>
    <row r="141" spans="8:24" x14ac:dyDescent="0.35">
      <c r="H141" s="671"/>
      <c r="I141" s="671"/>
      <c r="J141" s="671"/>
      <c r="K141" s="671"/>
      <c r="L141" s="671"/>
      <c r="M141" s="671"/>
      <c r="N141" s="671"/>
      <c r="O141" s="671"/>
      <c r="P141" s="671"/>
      <c r="Q141" s="671"/>
      <c r="R141" s="671"/>
      <c r="S141" s="671"/>
      <c r="T141" s="671"/>
      <c r="U141" s="671"/>
      <c r="V141" s="671"/>
      <c r="W141" s="671"/>
      <c r="X141" s="671"/>
    </row>
    <row r="142" spans="8:24" x14ac:dyDescent="0.35">
      <c r="H142" s="671"/>
      <c r="I142" s="671"/>
      <c r="J142" s="671"/>
      <c r="K142" s="671"/>
      <c r="L142" s="671"/>
      <c r="M142" s="671"/>
      <c r="N142" s="671"/>
      <c r="O142" s="671"/>
      <c r="P142" s="671"/>
      <c r="Q142" s="671"/>
      <c r="R142" s="671"/>
      <c r="S142" s="671"/>
      <c r="T142" s="671"/>
      <c r="U142" s="671"/>
      <c r="V142" s="671"/>
      <c r="W142" s="671"/>
      <c r="X142" s="671"/>
    </row>
    <row r="143" spans="8:24" x14ac:dyDescent="0.35">
      <c r="H143" s="671"/>
      <c r="I143" s="671"/>
      <c r="J143" s="671"/>
      <c r="K143" s="671"/>
      <c r="L143" s="671"/>
      <c r="M143" s="671"/>
      <c r="N143" s="671"/>
      <c r="O143" s="671"/>
      <c r="P143" s="671"/>
      <c r="Q143" s="671"/>
      <c r="R143" s="671"/>
      <c r="S143" s="671"/>
      <c r="T143" s="671"/>
      <c r="U143" s="671"/>
      <c r="V143" s="671"/>
      <c r="W143" s="671"/>
      <c r="X143" s="671"/>
    </row>
    <row r="144" spans="8:24" x14ac:dyDescent="0.35">
      <c r="H144" s="671"/>
      <c r="I144" s="671"/>
      <c r="J144" s="671"/>
      <c r="K144" s="671"/>
      <c r="L144" s="671"/>
      <c r="M144" s="671"/>
      <c r="N144" s="671"/>
      <c r="O144" s="671"/>
      <c r="P144" s="671"/>
      <c r="Q144" s="671"/>
      <c r="R144" s="671"/>
      <c r="S144" s="671"/>
      <c r="T144" s="671"/>
      <c r="U144" s="671"/>
      <c r="V144" s="671"/>
      <c r="W144" s="671"/>
      <c r="X144" s="671"/>
    </row>
    <row r="145" spans="8:24" x14ac:dyDescent="0.35">
      <c r="H145" s="671"/>
      <c r="I145" s="671"/>
      <c r="J145" s="671"/>
      <c r="K145" s="671"/>
      <c r="L145" s="671"/>
      <c r="M145" s="671"/>
      <c r="N145" s="671"/>
      <c r="O145" s="671"/>
      <c r="P145" s="671"/>
      <c r="Q145" s="671"/>
      <c r="R145" s="671"/>
      <c r="S145" s="671"/>
      <c r="T145" s="671"/>
      <c r="U145" s="671"/>
      <c r="V145" s="671"/>
      <c r="W145" s="671"/>
      <c r="X145" s="671"/>
    </row>
    <row r="146" spans="8:24" x14ac:dyDescent="0.35">
      <c r="H146" s="671"/>
      <c r="I146" s="671"/>
      <c r="J146" s="671"/>
      <c r="K146" s="671"/>
      <c r="L146" s="671"/>
      <c r="M146" s="671"/>
      <c r="N146" s="671"/>
      <c r="O146" s="671"/>
      <c r="P146" s="671"/>
      <c r="Q146" s="671"/>
      <c r="R146" s="671"/>
      <c r="S146" s="671"/>
      <c r="T146" s="671"/>
      <c r="U146" s="671"/>
      <c r="V146" s="671"/>
      <c r="W146" s="671"/>
      <c r="X146" s="671"/>
    </row>
    <row r="147" spans="8:24" x14ac:dyDescent="0.35">
      <c r="H147" s="671"/>
      <c r="I147" s="671"/>
      <c r="J147" s="671"/>
      <c r="K147" s="671"/>
      <c r="L147" s="671"/>
      <c r="M147" s="671"/>
      <c r="N147" s="671"/>
      <c r="O147" s="671"/>
      <c r="P147" s="671"/>
      <c r="Q147" s="671"/>
      <c r="R147" s="671"/>
      <c r="S147" s="671"/>
      <c r="T147" s="671"/>
      <c r="U147" s="671"/>
      <c r="V147" s="671"/>
      <c r="W147" s="671"/>
      <c r="X147" s="671"/>
    </row>
    <row r="148" spans="8:24" x14ac:dyDescent="0.35">
      <c r="H148" s="671"/>
      <c r="I148" s="671"/>
      <c r="J148" s="671"/>
      <c r="K148" s="671"/>
      <c r="L148" s="671"/>
      <c r="M148" s="671"/>
      <c r="N148" s="671"/>
      <c r="O148" s="671"/>
      <c r="P148" s="671"/>
      <c r="Q148" s="671"/>
      <c r="R148" s="671"/>
      <c r="S148" s="671"/>
      <c r="T148" s="671"/>
      <c r="U148" s="671"/>
      <c r="V148" s="671"/>
      <c r="W148" s="671"/>
      <c r="X148" s="671"/>
    </row>
    <row r="149" spans="8:24" x14ac:dyDescent="0.35">
      <c r="H149" s="671"/>
      <c r="I149" s="671"/>
      <c r="J149" s="671"/>
      <c r="K149" s="671"/>
      <c r="L149" s="671"/>
      <c r="M149" s="671"/>
      <c r="N149" s="671"/>
      <c r="O149" s="671"/>
      <c r="P149" s="671"/>
      <c r="Q149" s="671"/>
      <c r="R149" s="671"/>
      <c r="S149" s="671"/>
      <c r="T149" s="671"/>
      <c r="U149" s="671"/>
      <c r="V149" s="671"/>
      <c r="W149" s="671"/>
      <c r="X149" s="671"/>
    </row>
    <row r="150" spans="8:24" x14ac:dyDescent="0.35">
      <c r="H150" s="671"/>
      <c r="I150" s="671"/>
      <c r="J150" s="671"/>
      <c r="K150" s="671"/>
      <c r="L150" s="671"/>
      <c r="M150" s="671"/>
      <c r="N150" s="671"/>
      <c r="O150" s="671"/>
      <c r="P150" s="671"/>
      <c r="Q150" s="671"/>
      <c r="R150" s="671"/>
      <c r="S150" s="671"/>
      <c r="T150" s="671"/>
      <c r="U150" s="671"/>
      <c r="V150" s="671"/>
      <c r="W150" s="671"/>
      <c r="X150" s="671"/>
    </row>
    <row r="151" spans="8:24" x14ac:dyDescent="0.35">
      <c r="H151" s="671"/>
      <c r="I151" s="671"/>
      <c r="J151" s="671"/>
      <c r="K151" s="671"/>
      <c r="L151" s="671"/>
      <c r="M151" s="671"/>
      <c r="N151" s="671"/>
      <c r="O151" s="671"/>
      <c r="P151" s="671"/>
      <c r="Q151" s="671"/>
      <c r="R151" s="671"/>
      <c r="S151" s="671"/>
      <c r="T151" s="671"/>
      <c r="U151" s="671"/>
      <c r="V151" s="671"/>
      <c r="W151" s="671"/>
      <c r="X151" s="671"/>
    </row>
    <row r="152" spans="8:24" x14ac:dyDescent="0.35">
      <c r="H152" s="671"/>
      <c r="I152" s="671"/>
      <c r="J152" s="671"/>
      <c r="K152" s="671"/>
      <c r="L152" s="671"/>
      <c r="M152" s="671"/>
      <c r="N152" s="671"/>
      <c r="O152" s="671"/>
      <c r="P152" s="671"/>
      <c r="Q152" s="671"/>
      <c r="R152" s="671"/>
      <c r="S152" s="671"/>
      <c r="T152" s="671"/>
      <c r="U152" s="671"/>
      <c r="V152" s="671"/>
      <c r="W152" s="671"/>
      <c r="X152" s="671"/>
    </row>
    <row r="153" spans="8:24" x14ac:dyDescent="0.35">
      <c r="H153" s="671"/>
      <c r="I153" s="671"/>
      <c r="J153" s="671"/>
      <c r="K153" s="671"/>
      <c r="L153" s="671"/>
      <c r="M153" s="671"/>
      <c r="N153" s="671"/>
      <c r="O153" s="671"/>
      <c r="P153" s="671"/>
      <c r="Q153" s="671"/>
      <c r="R153" s="671"/>
      <c r="S153" s="671"/>
      <c r="T153" s="671"/>
      <c r="U153" s="671"/>
      <c r="V153" s="671"/>
      <c r="W153" s="671"/>
      <c r="X153" s="671"/>
    </row>
    <row r="154" spans="8:24" x14ac:dyDescent="0.35">
      <c r="H154" s="671"/>
      <c r="I154" s="671"/>
      <c r="J154" s="671"/>
      <c r="K154" s="671"/>
      <c r="L154" s="671"/>
      <c r="M154" s="671"/>
      <c r="N154" s="671"/>
      <c r="O154" s="671"/>
      <c r="P154" s="671"/>
      <c r="Q154" s="671"/>
      <c r="R154" s="671"/>
      <c r="S154" s="671"/>
      <c r="T154" s="671"/>
      <c r="U154" s="671"/>
      <c r="V154" s="671"/>
      <c r="W154" s="671"/>
      <c r="X154" s="671"/>
    </row>
    <row r="155" spans="8:24" x14ac:dyDescent="0.35">
      <c r="H155" s="671"/>
      <c r="I155" s="671"/>
      <c r="J155" s="671"/>
      <c r="K155" s="671"/>
      <c r="L155" s="671"/>
      <c r="M155" s="671"/>
      <c r="N155" s="671"/>
      <c r="O155" s="671"/>
      <c r="P155" s="671"/>
      <c r="Q155" s="671"/>
      <c r="R155" s="671"/>
      <c r="S155" s="671"/>
      <c r="T155" s="671"/>
      <c r="U155" s="671"/>
      <c r="V155" s="671"/>
      <c r="W155" s="671"/>
      <c r="X155" s="671"/>
    </row>
    <row r="156" spans="8:24" x14ac:dyDescent="0.35">
      <c r="H156" s="671"/>
      <c r="I156" s="671"/>
      <c r="J156" s="671"/>
      <c r="K156" s="671"/>
      <c r="L156" s="671"/>
      <c r="M156" s="671"/>
      <c r="N156" s="671"/>
      <c r="O156" s="671"/>
      <c r="P156" s="671"/>
      <c r="Q156" s="671"/>
      <c r="R156" s="671"/>
      <c r="S156" s="671"/>
      <c r="T156" s="671"/>
      <c r="U156" s="671"/>
      <c r="V156" s="671"/>
      <c r="W156" s="671"/>
      <c r="X156" s="671"/>
    </row>
    <row r="157" spans="8:24" x14ac:dyDescent="0.35">
      <c r="H157" s="671"/>
      <c r="I157" s="671"/>
      <c r="J157" s="671"/>
      <c r="K157" s="671"/>
      <c r="L157" s="671"/>
      <c r="M157" s="671"/>
      <c r="N157" s="671"/>
      <c r="O157" s="671"/>
      <c r="P157" s="671"/>
      <c r="Q157" s="671"/>
      <c r="R157" s="671"/>
      <c r="S157" s="671"/>
      <c r="T157" s="671"/>
      <c r="U157" s="671"/>
      <c r="V157" s="671"/>
      <c r="W157" s="671"/>
      <c r="X157" s="671"/>
    </row>
    <row r="158" spans="8:24" x14ac:dyDescent="0.35">
      <c r="H158" s="671"/>
      <c r="I158" s="671"/>
      <c r="J158" s="671"/>
      <c r="K158" s="671"/>
      <c r="L158" s="671"/>
      <c r="M158" s="671"/>
      <c r="N158" s="671"/>
      <c r="O158" s="671"/>
      <c r="P158" s="671"/>
      <c r="Q158" s="671"/>
      <c r="R158" s="671"/>
      <c r="S158" s="671"/>
      <c r="T158" s="671"/>
      <c r="U158" s="671"/>
      <c r="V158" s="671"/>
      <c r="W158" s="671"/>
      <c r="X158" s="671"/>
    </row>
    <row r="159" spans="8:24" x14ac:dyDescent="0.35">
      <c r="H159" s="671"/>
      <c r="I159" s="671"/>
      <c r="J159" s="671"/>
      <c r="K159" s="671"/>
      <c r="L159" s="671"/>
      <c r="M159" s="671"/>
      <c r="N159" s="671"/>
      <c r="O159" s="671"/>
      <c r="P159" s="671"/>
      <c r="Q159" s="671"/>
      <c r="R159" s="671"/>
      <c r="S159" s="671"/>
      <c r="T159" s="671"/>
      <c r="U159" s="671"/>
      <c r="V159" s="671"/>
      <c r="W159" s="671"/>
      <c r="X159" s="671"/>
    </row>
    <row r="160" spans="8:24" x14ac:dyDescent="0.35">
      <c r="H160" s="671"/>
      <c r="I160" s="671"/>
      <c r="J160" s="671"/>
      <c r="K160" s="671"/>
      <c r="L160" s="671"/>
      <c r="M160" s="671"/>
      <c r="N160" s="671"/>
      <c r="O160" s="671"/>
      <c r="P160" s="671"/>
      <c r="Q160" s="671"/>
      <c r="R160" s="671"/>
      <c r="S160" s="671"/>
      <c r="T160" s="671"/>
      <c r="U160" s="671"/>
      <c r="V160" s="671"/>
      <c r="W160" s="671"/>
      <c r="X160" s="671"/>
    </row>
    <row r="161" spans="8:24" x14ac:dyDescent="0.35">
      <c r="H161" s="671"/>
      <c r="I161" s="671"/>
      <c r="J161" s="671"/>
      <c r="K161" s="671"/>
      <c r="L161" s="671"/>
      <c r="M161" s="671"/>
      <c r="N161" s="671"/>
      <c r="O161" s="671"/>
      <c r="P161" s="671"/>
      <c r="Q161" s="671"/>
      <c r="R161" s="671"/>
      <c r="S161" s="671"/>
      <c r="T161" s="671"/>
      <c r="U161" s="671"/>
      <c r="V161" s="671"/>
      <c r="W161" s="671"/>
      <c r="X161" s="671"/>
    </row>
    <row r="162" spans="8:24" x14ac:dyDescent="0.35">
      <c r="H162" s="671"/>
      <c r="I162" s="671"/>
      <c r="J162" s="671"/>
      <c r="K162" s="671"/>
      <c r="L162" s="671"/>
      <c r="M162" s="671"/>
      <c r="N162" s="671"/>
      <c r="O162" s="671"/>
      <c r="P162" s="671"/>
      <c r="Q162" s="671"/>
      <c r="R162" s="671"/>
      <c r="S162" s="671"/>
      <c r="T162" s="671"/>
      <c r="U162" s="671"/>
      <c r="V162" s="671"/>
      <c r="W162" s="671"/>
      <c r="X162" s="671"/>
    </row>
    <row r="163" spans="8:24" x14ac:dyDescent="0.35">
      <c r="H163" s="671"/>
      <c r="I163" s="671"/>
      <c r="J163" s="671"/>
      <c r="K163" s="671"/>
      <c r="L163" s="671"/>
      <c r="M163" s="671"/>
      <c r="N163" s="671"/>
      <c r="O163" s="671"/>
      <c r="P163" s="671"/>
      <c r="Q163" s="671"/>
      <c r="R163" s="671"/>
      <c r="S163" s="671"/>
      <c r="T163" s="671"/>
      <c r="U163" s="671"/>
      <c r="V163" s="671"/>
      <c r="W163" s="671"/>
      <c r="X163" s="671"/>
    </row>
    <row r="164" spans="8:24" x14ac:dyDescent="0.35">
      <c r="H164" s="671"/>
      <c r="I164" s="671"/>
      <c r="J164" s="671"/>
      <c r="K164" s="671"/>
      <c r="L164" s="671"/>
      <c r="M164" s="671"/>
      <c r="N164" s="671"/>
      <c r="O164" s="671"/>
      <c r="P164" s="671"/>
      <c r="Q164" s="671"/>
      <c r="R164" s="671"/>
      <c r="S164" s="671"/>
      <c r="T164" s="671"/>
      <c r="U164" s="671"/>
      <c r="V164" s="671"/>
      <c r="W164" s="671"/>
      <c r="X164" s="671"/>
    </row>
    <row r="165" spans="8:24" x14ac:dyDescent="0.35">
      <c r="H165" s="671"/>
      <c r="I165" s="671"/>
      <c r="J165" s="671"/>
      <c r="K165" s="671"/>
      <c r="L165" s="671"/>
      <c r="M165" s="671"/>
      <c r="N165" s="671"/>
      <c r="O165" s="671"/>
      <c r="P165" s="671"/>
      <c r="Q165" s="671"/>
      <c r="R165" s="671"/>
      <c r="S165" s="671"/>
      <c r="T165" s="671"/>
      <c r="U165" s="671"/>
      <c r="V165" s="671"/>
      <c r="W165" s="671"/>
      <c r="X165" s="671"/>
    </row>
    <row r="166" spans="8:24" x14ac:dyDescent="0.35">
      <c r="H166" s="671"/>
      <c r="I166" s="671"/>
      <c r="J166" s="671"/>
      <c r="K166" s="671"/>
      <c r="L166" s="671"/>
      <c r="M166" s="671"/>
      <c r="N166" s="671"/>
      <c r="O166" s="671"/>
      <c r="P166" s="671"/>
      <c r="Q166" s="671"/>
      <c r="R166" s="671"/>
      <c r="S166" s="671"/>
      <c r="T166" s="671"/>
      <c r="U166" s="671"/>
      <c r="V166" s="671"/>
      <c r="W166" s="671"/>
      <c r="X166" s="671"/>
    </row>
    <row r="167" spans="8:24" x14ac:dyDescent="0.35">
      <c r="H167" s="671"/>
      <c r="I167" s="671"/>
      <c r="J167" s="671"/>
      <c r="K167" s="671"/>
      <c r="L167" s="671"/>
      <c r="M167" s="671"/>
      <c r="N167" s="671"/>
      <c r="O167" s="671"/>
      <c r="P167" s="671"/>
      <c r="Q167" s="671"/>
      <c r="R167" s="671"/>
      <c r="S167" s="671"/>
      <c r="T167" s="671"/>
      <c r="U167" s="671"/>
      <c r="V167" s="671"/>
      <c r="W167" s="671"/>
      <c r="X167" s="671"/>
    </row>
    <row r="168" spans="8:24" x14ac:dyDescent="0.35">
      <c r="H168" s="671"/>
      <c r="I168" s="671"/>
      <c r="J168" s="671"/>
      <c r="K168" s="671"/>
      <c r="L168" s="671"/>
      <c r="M168" s="671"/>
      <c r="N168" s="671"/>
      <c r="O168" s="671"/>
      <c r="P168" s="671"/>
      <c r="Q168" s="671"/>
      <c r="R168" s="671"/>
      <c r="S168" s="671"/>
      <c r="T168" s="671"/>
      <c r="U168" s="671"/>
      <c r="V168" s="671"/>
      <c r="W168" s="671"/>
      <c r="X168" s="671"/>
    </row>
    <row r="169" spans="8:24" x14ac:dyDescent="0.35">
      <c r="H169" s="671"/>
      <c r="I169" s="671"/>
      <c r="J169" s="671"/>
      <c r="K169" s="671"/>
      <c r="L169" s="671"/>
      <c r="M169" s="671"/>
      <c r="N169" s="671"/>
      <c r="O169" s="671"/>
      <c r="P169" s="671"/>
      <c r="Q169" s="671"/>
      <c r="R169" s="671"/>
      <c r="S169" s="671"/>
      <c r="T169" s="671"/>
      <c r="U169" s="671"/>
      <c r="V169" s="671"/>
      <c r="W169" s="671"/>
      <c r="X169" s="671"/>
    </row>
    <row r="170" spans="8:24" x14ac:dyDescent="0.35">
      <c r="H170" s="671"/>
      <c r="I170" s="671"/>
      <c r="J170" s="671"/>
      <c r="K170" s="671"/>
      <c r="L170" s="671"/>
      <c r="M170" s="671"/>
      <c r="N170" s="671"/>
      <c r="O170" s="671"/>
      <c r="P170" s="671"/>
      <c r="Q170" s="671"/>
      <c r="R170" s="671"/>
      <c r="S170" s="671"/>
      <c r="T170" s="671"/>
      <c r="U170" s="671"/>
      <c r="V170" s="671"/>
      <c r="W170" s="671"/>
      <c r="X170" s="671"/>
    </row>
    <row r="171" spans="8:24" x14ac:dyDescent="0.35">
      <c r="H171" s="671"/>
      <c r="I171" s="671"/>
      <c r="J171" s="671"/>
      <c r="K171" s="671"/>
      <c r="L171" s="671"/>
      <c r="M171" s="671"/>
      <c r="N171" s="671"/>
      <c r="O171" s="671"/>
      <c r="P171" s="671"/>
      <c r="Q171" s="671"/>
      <c r="R171" s="671"/>
      <c r="S171" s="671"/>
      <c r="T171" s="671"/>
      <c r="U171" s="671"/>
      <c r="V171" s="671"/>
      <c r="W171" s="671"/>
      <c r="X171" s="671"/>
    </row>
    <row r="172" spans="8:24" x14ac:dyDescent="0.35">
      <c r="H172" s="671"/>
      <c r="I172" s="671"/>
      <c r="J172" s="671"/>
      <c r="K172" s="671"/>
      <c r="L172" s="671"/>
      <c r="M172" s="671"/>
      <c r="N172" s="671"/>
      <c r="O172" s="671"/>
      <c r="P172" s="671"/>
      <c r="Q172" s="671"/>
      <c r="R172" s="671"/>
      <c r="S172" s="671"/>
      <c r="T172" s="671"/>
      <c r="U172" s="671"/>
      <c r="V172" s="671"/>
      <c r="W172" s="671"/>
      <c r="X172" s="671"/>
    </row>
    <row r="173" spans="8:24" x14ac:dyDescent="0.35">
      <c r="H173" s="671"/>
      <c r="I173" s="671"/>
      <c r="J173" s="671"/>
      <c r="K173" s="671"/>
      <c r="L173" s="671"/>
      <c r="M173" s="671"/>
      <c r="N173" s="671"/>
      <c r="O173" s="671"/>
      <c r="P173" s="671"/>
      <c r="Q173" s="671"/>
      <c r="R173" s="671"/>
      <c r="S173" s="671"/>
      <c r="T173" s="671"/>
      <c r="U173" s="671"/>
      <c r="V173" s="671"/>
      <c r="W173" s="671"/>
      <c r="X173" s="671"/>
    </row>
    <row r="174" spans="8:24" x14ac:dyDescent="0.35">
      <c r="H174" s="671"/>
      <c r="I174" s="671"/>
      <c r="J174" s="671"/>
      <c r="K174" s="671"/>
      <c r="L174" s="671"/>
      <c r="M174" s="671"/>
      <c r="N174" s="671"/>
      <c r="O174" s="671"/>
      <c r="P174" s="671"/>
      <c r="Q174" s="671"/>
      <c r="R174" s="671"/>
      <c r="S174" s="671"/>
      <c r="T174" s="671"/>
      <c r="U174" s="671"/>
      <c r="V174" s="671"/>
      <c r="W174" s="671"/>
      <c r="X174" s="671"/>
    </row>
    <row r="175" spans="8:24" x14ac:dyDescent="0.35">
      <c r="H175" s="671"/>
      <c r="I175" s="671"/>
      <c r="J175" s="671"/>
      <c r="K175" s="671"/>
      <c r="L175" s="671"/>
      <c r="M175" s="671"/>
      <c r="N175" s="671"/>
      <c r="O175" s="671"/>
      <c r="P175" s="671"/>
      <c r="Q175" s="671"/>
      <c r="R175" s="671"/>
      <c r="S175" s="671"/>
      <c r="T175" s="671"/>
      <c r="U175" s="671"/>
      <c r="V175" s="671"/>
      <c r="W175" s="671"/>
      <c r="X175" s="671"/>
    </row>
    <row r="176" spans="8:24" x14ac:dyDescent="0.35">
      <c r="H176" s="671"/>
      <c r="I176" s="671"/>
      <c r="J176" s="671"/>
      <c r="K176" s="671"/>
      <c r="L176" s="671"/>
      <c r="M176" s="671"/>
      <c r="N176" s="671"/>
      <c r="O176" s="671"/>
      <c r="P176" s="671"/>
      <c r="Q176" s="671"/>
      <c r="R176" s="671"/>
      <c r="S176" s="671"/>
      <c r="T176" s="671"/>
      <c r="U176" s="671"/>
      <c r="V176" s="671"/>
      <c r="W176" s="671"/>
      <c r="X176" s="671"/>
    </row>
    <row r="177" spans="8:24" x14ac:dyDescent="0.35">
      <c r="H177" s="671"/>
      <c r="I177" s="671"/>
      <c r="J177" s="671"/>
      <c r="K177" s="671"/>
      <c r="L177" s="671"/>
      <c r="M177" s="671"/>
      <c r="N177" s="671"/>
      <c r="O177" s="671"/>
      <c r="P177" s="671"/>
      <c r="Q177" s="671"/>
      <c r="R177" s="671"/>
      <c r="S177" s="671"/>
      <c r="T177" s="671"/>
      <c r="U177" s="671"/>
      <c r="V177" s="671"/>
      <c r="W177" s="671"/>
      <c r="X177" s="671"/>
    </row>
    <row r="178" spans="8:24" x14ac:dyDescent="0.35">
      <c r="H178" s="671"/>
      <c r="I178" s="671"/>
      <c r="J178" s="671"/>
      <c r="K178" s="671"/>
      <c r="L178" s="671"/>
      <c r="M178" s="671"/>
      <c r="N178" s="671"/>
      <c r="O178" s="671"/>
      <c r="P178" s="671"/>
      <c r="Q178" s="671"/>
      <c r="R178" s="671"/>
      <c r="S178" s="671"/>
      <c r="T178" s="671"/>
      <c r="U178" s="671"/>
      <c r="V178" s="671"/>
      <c r="W178" s="671"/>
      <c r="X178" s="671"/>
    </row>
    <row r="179" spans="8:24" x14ac:dyDescent="0.35">
      <c r="H179" s="671"/>
      <c r="I179" s="671"/>
      <c r="J179" s="671"/>
      <c r="K179" s="671"/>
      <c r="L179" s="671"/>
      <c r="M179" s="671"/>
      <c r="N179" s="671"/>
      <c r="O179" s="671"/>
      <c r="P179" s="671"/>
      <c r="Q179" s="671"/>
      <c r="R179" s="671"/>
      <c r="S179" s="671"/>
      <c r="T179" s="671"/>
      <c r="U179" s="671"/>
      <c r="V179" s="671"/>
      <c r="W179" s="671"/>
      <c r="X179" s="671"/>
    </row>
    <row r="180" spans="8:24" x14ac:dyDescent="0.35">
      <c r="H180" s="671"/>
      <c r="I180" s="671"/>
      <c r="J180" s="671"/>
      <c r="K180" s="671"/>
      <c r="L180" s="671"/>
      <c r="M180" s="671"/>
      <c r="N180" s="671"/>
      <c r="O180" s="671"/>
      <c r="P180" s="671"/>
      <c r="Q180" s="671"/>
      <c r="R180" s="671"/>
      <c r="S180" s="671"/>
      <c r="T180" s="671"/>
      <c r="U180" s="671"/>
      <c r="V180" s="671"/>
      <c r="W180" s="671"/>
      <c r="X180" s="671"/>
    </row>
    <row r="181" spans="8:24" x14ac:dyDescent="0.35">
      <c r="H181" s="671"/>
      <c r="I181" s="671"/>
      <c r="J181" s="671"/>
      <c r="K181" s="671"/>
      <c r="L181" s="671"/>
      <c r="M181" s="671"/>
      <c r="N181" s="671"/>
      <c r="O181" s="671"/>
      <c r="P181" s="671"/>
      <c r="Q181" s="671"/>
      <c r="R181" s="671"/>
      <c r="S181" s="671"/>
      <c r="T181" s="671"/>
      <c r="U181" s="671"/>
      <c r="V181" s="671"/>
      <c r="W181" s="671"/>
      <c r="X181" s="671"/>
    </row>
    <row r="182" spans="8:24" x14ac:dyDescent="0.35">
      <c r="H182" s="671"/>
      <c r="I182" s="671"/>
      <c r="J182" s="671"/>
      <c r="K182" s="671"/>
      <c r="L182" s="671"/>
      <c r="M182" s="671"/>
      <c r="N182" s="671"/>
      <c r="O182" s="671"/>
      <c r="P182" s="671"/>
      <c r="Q182" s="671"/>
      <c r="R182" s="671"/>
      <c r="S182" s="671"/>
      <c r="T182" s="671"/>
      <c r="U182" s="671"/>
      <c r="V182" s="671"/>
      <c r="W182" s="671"/>
      <c r="X182" s="671"/>
    </row>
    <row r="183" spans="8:24" x14ac:dyDescent="0.35">
      <c r="H183" s="671"/>
      <c r="I183" s="671"/>
      <c r="J183" s="671"/>
      <c r="K183" s="671"/>
      <c r="L183" s="671"/>
      <c r="M183" s="671"/>
      <c r="N183" s="671"/>
      <c r="O183" s="671"/>
      <c r="P183" s="671"/>
      <c r="Q183" s="671"/>
      <c r="R183" s="671"/>
      <c r="S183" s="671"/>
      <c r="T183" s="671"/>
      <c r="U183" s="671"/>
      <c r="V183" s="671"/>
      <c r="W183" s="671"/>
      <c r="X183" s="671"/>
    </row>
    <row r="184" spans="8:24" x14ac:dyDescent="0.35">
      <c r="H184" s="671"/>
      <c r="I184" s="671"/>
      <c r="J184" s="671"/>
      <c r="K184" s="671"/>
      <c r="L184" s="671"/>
      <c r="M184" s="671"/>
      <c r="N184" s="671"/>
      <c r="O184" s="671"/>
      <c r="P184" s="671"/>
      <c r="Q184" s="671"/>
      <c r="R184" s="671"/>
      <c r="S184" s="671"/>
      <c r="T184" s="671"/>
      <c r="U184" s="671"/>
      <c r="V184" s="671"/>
      <c r="W184" s="671"/>
      <c r="X184" s="671"/>
    </row>
    <row r="185" spans="8:24" x14ac:dyDescent="0.35">
      <c r="H185" s="671"/>
      <c r="I185" s="671"/>
      <c r="J185" s="671"/>
      <c r="K185" s="671"/>
      <c r="L185" s="671"/>
      <c r="M185" s="671"/>
      <c r="N185" s="671"/>
      <c r="O185" s="671"/>
      <c r="P185" s="671"/>
      <c r="Q185" s="671"/>
      <c r="R185" s="671"/>
      <c r="S185" s="671"/>
      <c r="T185" s="671"/>
      <c r="U185" s="671"/>
      <c r="V185" s="671"/>
      <c r="W185" s="671"/>
      <c r="X185" s="671"/>
    </row>
    <row r="186" spans="8:24" x14ac:dyDescent="0.35">
      <c r="H186" s="671"/>
      <c r="I186" s="671"/>
      <c r="J186" s="671"/>
      <c r="K186" s="671"/>
      <c r="L186" s="671"/>
      <c r="M186" s="671"/>
      <c r="N186" s="671"/>
      <c r="O186" s="671"/>
      <c r="P186" s="671"/>
      <c r="Q186" s="671"/>
      <c r="R186" s="671"/>
      <c r="S186" s="671"/>
      <c r="T186" s="671"/>
      <c r="U186" s="671"/>
      <c r="V186" s="671"/>
      <c r="W186" s="671"/>
      <c r="X186" s="671"/>
    </row>
    <row r="187" spans="8:24" x14ac:dyDescent="0.35">
      <c r="H187" s="671"/>
      <c r="I187" s="671"/>
      <c r="J187" s="671"/>
      <c r="K187" s="671"/>
      <c r="L187" s="671"/>
      <c r="M187" s="671"/>
      <c r="N187" s="671"/>
      <c r="O187" s="671"/>
      <c r="P187" s="671"/>
      <c r="Q187" s="671"/>
      <c r="R187" s="671"/>
      <c r="S187" s="671"/>
      <c r="T187" s="671"/>
      <c r="U187" s="671"/>
      <c r="V187" s="671"/>
      <c r="W187" s="671"/>
      <c r="X187" s="671"/>
    </row>
    <row r="188" spans="8:24" x14ac:dyDescent="0.35">
      <c r="H188" s="671"/>
      <c r="I188" s="671"/>
      <c r="J188" s="671"/>
      <c r="K188" s="671"/>
      <c r="L188" s="671"/>
      <c r="M188" s="671"/>
      <c r="N188" s="671"/>
      <c r="O188" s="671"/>
      <c r="P188" s="671"/>
      <c r="Q188" s="671"/>
      <c r="R188" s="671"/>
      <c r="S188" s="671"/>
      <c r="T188" s="671"/>
      <c r="U188" s="671"/>
      <c r="V188" s="671"/>
      <c r="W188" s="671"/>
      <c r="X188" s="671"/>
    </row>
    <row r="189" spans="8:24" x14ac:dyDescent="0.35">
      <c r="H189" s="671"/>
      <c r="I189" s="671"/>
      <c r="J189" s="671"/>
      <c r="K189" s="671"/>
      <c r="L189" s="671"/>
      <c r="M189" s="671"/>
      <c r="N189" s="671"/>
      <c r="O189" s="671"/>
      <c r="P189" s="671"/>
      <c r="Q189" s="671"/>
      <c r="R189" s="671"/>
      <c r="S189" s="671"/>
      <c r="T189" s="671"/>
      <c r="U189" s="671"/>
      <c r="V189" s="671"/>
      <c r="W189" s="671"/>
      <c r="X189" s="671"/>
    </row>
    <row r="190" spans="8:24" x14ac:dyDescent="0.35">
      <c r="H190" s="671"/>
      <c r="I190" s="671"/>
      <c r="J190" s="671"/>
      <c r="K190" s="671"/>
      <c r="L190" s="671"/>
      <c r="M190" s="671"/>
      <c r="N190" s="671"/>
      <c r="O190" s="671"/>
      <c r="P190" s="671"/>
      <c r="Q190" s="671"/>
      <c r="R190" s="671"/>
      <c r="S190" s="671"/>
      <c r="T190" s="671"/>
      <c r="U190" s="671"/>
      <c r="V190" s="671"/>
      <c r="W190" s="671"/>
      <c r="X190" s="671"/>
    </row>
    <row r="191" spans="8:24" x14ac:dyDescent="0.35">
      <c r="H191" s="671"/>
      <c r="I191" s="671"/>
      <c r="J191" s="671"/>
      <c r="K191" s="671"/>
      <c r="L191" s="671"/>
      <c r="M191" s="671"/>
      <c r="N191" s="671"/>
      <c r="O191" s="671"/>
      <c r="P191" s="671"/>
      <c r="Q191" s="671"/>
      <c r="R191" s="671"/>
      <c r="S191" s="671"/>
      <c r="T191" s="671"/>
      <c r="U191" s="671"/>
      <c r="V191" s="671"/>
      <c r="W191" s="671"/>
      <c r="X191" s="671"/>
    </row>
    <row r="192" spans="8:24" x14ac:dyDescent="0.35">
      <c r="H192" s="671"/>
      <c r="I192" s="671"/>
      <c r="J192" s="671"/>
      <c r="K192" s="671"/>
      <c r="L192" s="671"/>
      <c r="M192" s="671"/>
      <c r="N192" s="671"/>
      <c r="O192" s="671"/>
      <c r="P192" s="671"/>
      <c r="Q192" s="671"/>
      <c r="R192" s="671"/>
      <c r="S192" s="671"/>
      <c r="T192" s="671"/>
      <c r="U192" s="671"/>
      <c r="V192" s="671"/>
      <c r="W192" s="671"/>
      <c r="X192" s="671"/>
    </row>
    <row r="193" spans="8:24" x14ac:dyDescent="0.35">
      <c r="H193" s="671"/>
      <c r="I193" s="671"/>
      <c r="J193" s="671"/>
      <c r="K193" s="671"/>
      <c r="L193" s="671"/>
      <c r="M193" s="671"/>
      <c r="N193" s="671"/>
      <c r="O193" s="671"/>
      <c r="P193" s="671"/>
      <c r="Q193" s="671"/>
      <c r="R193" s="671"/>
      <c r="S193" s="671"/>
      <c r="T193" s="671"/>
      <c r="U193" s="671"/>
      <c r="V193" s="671"/>
      <c r="W193" s="671"/>
      <c r="X193" s="671"/>
    </row>
    <row r="194" spans="8:24" x14ac:dyDescent="0.35">
      <c r="H194" s="671"/>
      <c r="I194" s="671"/>
      <c r="J194" s="671"/>
      <c r="K194" s="671"/>
      <c r="L194" s="671"/>
      <c r="M194" s="671"/>
      <c r="N194" s="671"/>
      <c r="O194" s="671"/>
      <c r="P194" s="671"/>
      <c r="Q194" s="671"/>
      <c r="R194" s="671"/>
      <c r="S194" s="671"/>
      <c r="T194" s="671"/>
      <c r="U194" s="671"/>
      <c r="V194" s="671"/>
      <c r="W194" s="671"/>
      <c r="X194" s="671"/>
    </row>
    <row r="195" spans="8:24" x14ac:dyDescent="0.35">
      <c r="H195" s="671"/>
      <c r="I195" s="671"/>
      <c r="J195" s="671"/>
      <c r="K195" s="671"/>
      <c r="L195" s="671"/>
      <c r="M195" s="671"/>
      <c r="N195" s="671"/>
      <c r="O195" s="671"/>
      <c r="P195" s="671"/>
      <c r="Q195" s="671"/>
      <c r="R195" s="671"/>
      <c r="S195" s="671"/>
      <c r="T195" s="671"/>
      <c r="U195" s="671"/>
      <c r="V195" s="671"/>
      <c r="W195" s="671"/>
      <c r="X195" s="671"/>
    </row>
    <row r="196" spans="8:24" x14ac:dyDescent="0.35">
      <c r="H196" s="671"/>
      <c r="I196" s="671"/>
      <c r="J196" s="671"/>
      <c r="K196" s="671"/>
      <c r="L196" s="671"/>
      <c r="M196" s="671"/>
      <c r="N196" s="671"/>
      <c r="O196" s="671"/>
      <c r="P196" s="671"/>
      <c r="Q196" s="671"/>
      <c r="R196" s="671"/>
      <c r="S196" s="671"/>
      <c r="T196" s="671"/>
      <c r="U196" s="671"/>
      <c r="V196" s="671"/>
      <c r="W196" s="671"/>
      <c r="X196" s="671"/>
    </row>
    <row r="197" spans="8:24" x14ac:dyDescent="0.35">
      <c r="H197" s="671"/>
      <c r="I197" s="671"/>
      <c r="J197" s="671"/>
      <c r="K197" s="671"/>
      <c r="L197" s="671"/>
      <c r="M197" s="671"/>
      <c r="N197" s="671"/>
      <c r="O197" s="671"/>
      <c r="P197" s="671"/>
      <c r="Q197" s="671"/>
      <c r="R197" s="671"/>
      <c r="S197" s="671"/>
      <c r="T197" s="671"/>
      <c r="U197" s="671"/>
      <c r="V197" s="671"/>
      <c r="W197" s="671"/>
      <c r="X197" s="671"/>
    </row>
    <row r="198" spans="8:24" x14ac:dyDescent="0.35">
      <c r="H198" s="671"/>
      <c r="I198" s="671"/>
      <c r="J198" s="671"/>
      <c r="K198" s="671"/>
      <c r="L198" s="671"/>
      <c r="M198" s="671"/>
      <c r="N198" s="671"/>
      <c r="O198" s="671"/>
      <c r="P198" s="671"/>
      <c r="Q198" s="671"/>
      <c r="R198" s="671"/>
      <c r="S198" s="671"/>
      <c r="T198" s="671"/>
      <c r="U198" s="671"/>
      <c r="V198" s="671"/>
      <c r="W198" s="671"/>
      <c r="X198" s="671"/>
    </row>
    <row r="199" spans="8:24" x14ac:dyDescent="0.35">
      <c r="H199" s="671"/>
      <c r="I199" s="671"/>
      <c r="J199" s="671"/>
      <c r="K199" s="671"/>
      <c r="L199" s="671"/>
      <c r="M199" s="671"/>
      <c r="N199" s="671"/>
      <c r="O199" s="671"/>
      <c r="P199" s="671"/>
      <c r="Q199" s="671"/>
      <c r="R199" s="671"/>
      <c r="S199" s="671"/>
      <c r="T199" s="671"/>
      <c r="U199" s="671"/>
      <c r="V199" s="671"/>
      <c r="W199" s="671"/>
      <c r="X199" s="671"/>
    </row>
    <row r="200" spans="8:24" x14ac:dyDescent="0.35">
      <c r="H200" s="671"/>
      <c r="I200" s="671"/>
      <c r="J200" s="671"/>
      <c r="K200" s="671"/>
      <c r="L200" s="671"/>
      <c r="M200" s="671"/>
      <c r="N200" s="671"/>
      <c r="O200" s="671"/>
      <c r="P200" s="671"/>
      <c r="Q200" s="671"/>
      <c r="R200" s="671"/>
      <c r="S200" s="671"/>
      <c r="T200" s="671"/>
      <c r="U200" s="671"/>
      <c r="V200" s="671"/>
      <c r="W200" s="671"/>
      <c r="X200" s="671"/>
    </row>
    <row r="201" spans="8:24" x14ac:dyDescent="0.35">
      <c r="H201" s="671"/>
      <c r="I201" s="671"/>
      <c r="J201" s="671"/>
      <c r="K201" s="671"/>
      <c r="L201" s="671"/>
      <c r="M201" s="671"/>
      <c r="N201" s="671"/>
      <c r="O201" s="671"/>
      <c r="P201" s="671"/>
      <c r="Q201" s="671"/>
      <c r="R201" s="671"/>
      <c r="S201" s="671"/>
      <c r="T201" s="671"/>
      <c r="U201" s="671"/>
      <c r="V201" s="671"/>
      <c r="W201" s="671"/>
      <c r="X201" s="671"/>
    </row>
    <row r="202" spans="8:24" x14ac:dyDescent="0.35">
      <c r="H202" s="671"/>
      <c r="I202" s="671"/>
      <c r="J202" s="671"/>
      <c r="K202" s="671"/>
      <c r="L202" s="671"/>
      <c r="M202" s="671"/>
      <c r="N202" s="671"/>
      <c r="O202" s="671"/>
      <c r="P202" s="671"/>
      <c r="Q202" s="671"/>
      <c r="R202" s="671"/>
      <c r="S202" s="671"/>
      <c r="T202" s="671"/>
      <c r="U202" s="671"/>
      <c r="V202" s="671"/>
      <c r="W202" s="671"/>
      <c r="X202" s="671"/>
    </row>
    <row r="203" spans="8:24" x14ac:dyDescent="0.35">
      <c r="H203" s="671"/>
      <c r="I203" s="671"/>
      <c r="J203" s="671"/>
      <c r="K203" s="671"/>
      <c r="L203" s="671"/>
      <c r="M203" s="671"/>
      <c r="N203" s="671"/>
      <c r="O203" s="671"/>
      <c r="P203" s="671"/>
      <c r="Q203" s="671"/>
      <c r="R203" s="671"/>
      <c r="S203" s="671"/>
      <c r="T203" s="671"/>
      <c r="U203" s="671"/>
      <c r="V203" s="671"/>
      <c r="W203" s="671"/>
      <c r="X203" s="671"/>
    </row>
    <row r="204" spans="8:24" x14ac:dyDescent="0.35">
      <c r="H204" s="671"/>
      <c r="I204" s="671"/>
      <c r="J204" s="671"/>
      <c r="K204" s="671"/>
      <c r="L204" s="671"/>
      <c r="M204" s="671"/>
      <c r="N204" s="671"/>
      <c r="O204" s="671"/>
      <c r="P204" s="671"/>
      <c r="Q204" s="671"/>
      <c r="R204" s="671"/>
      <c r="S204" s="671"/>
      <c r="T204" s="671"/>
      <c r="U204" s="671"/>
      <c r="V204" s="671"/>
      <c r="W204" s="671"/>
      <c r="X204" s="671"/>
    </row>
    <row r="205" spans="8:24" x14ac:dyDescent="0.35">
      <c r="H205" s="671"/>
      <c r="I205" s="671"/>
      <c r="J205" s="671"/>
      <c r="K205" s="671"/>
      <c r="L205" s="671"/>
      <c r="M205" s="671"/>
      <c r="N205" s="671"/>
      <c r="O205" s="671"/>
      <c r="P205" s="671"/>
      <c r="Q205" s="671"/>
      <c r="R205" s="671"/>
      <c r="S205" s="671"/>
      <c r="T205" s="671"/>
      <c r="U205" s="671"/>
      <c r="V205" s="671"/>
      <c r="W205" s="671"/>
      <c r="X205" s="671"/>
    </row>
    <row r="206" spans="8:24" x14ac:dyDescent="0.35">
      <c r="H206" s="671"/>
      <c r="I206" s="671"/>
      <c r="J206" s="671"/>
      <c r="K206" s="671"/>
      <c r="L206" s="671"/>
      <c r="M206" s="671"/>
      <c r="N206" s="671"/>
      <c r="O206" s="671"/>
      <c r="P206" s="671"/>
      <c r="Q206" s="671"/>
      <c r="R206" s="671"/>
      <c r="S206" s="671"/>
      <c r="T206" s="671"/>
      <c r="U206" s="671"/>
      <c r="V206" s="671"/>
      <c r="W206" s="671"/>
      <c r="X206" s="671"/>
    </row>
    <row r="207" spans="8:24" x14ac:dyDescent="0.35">
      <c r="H207" s="671"/>
      <c r="I207" s="671"/>
      <c r="J207" s="671"/>
      <c r="K207" s="671"/>
      <c r="L207" s="671"/>
      <c r="M207" s="671"/>
      <c r="N207" s="671"/>
      <c r="O207" s="671"/>
      <c r="P207" s="671"/>
      <c r="Q207" s="671"/>
      <c r="R207" s="671"/>
      <c r="S207" s="671"/>
      <c r="T207" s="671"/>
      <c r="U207" s="671"/>
      <c r="V207" s="671"/>
      <c r="W207" s="671"/>
      <c r="X207" s="671"/>
    </row>
    <row r="208" spans="8:24" x14ac:dyDescent="0.35">
      <c r="H208" s="671"/>
      <c r="I208" s="671"/>
      <c r="J208" s="671"/>
      <c r="K208" s="671"/>
      <c r="L208" s="671"/>
      <c r="M208" s="671"/>
      <c r="N208" s="671"/>
      <c r="O208" s="671"/>
      <c r="P208" s="671"/>
      <c r="Q208" s="671"/>
      <c r="R208" s="671"/>
      <c r="S208" s="671"/>
      <c r="T208" s="671"/>
      <c r="U208" s="671"/>
      <c r="V208" s="671"/>
      <c r="W208" s="671"/>
      <c r="X208" s="671"/>
    </row>
    <row r="209" spans="8:24" x14ac:dyDescent="0.35">
      <c r="H209" s="671"/>
      <c r="I209" s="671"/>
      <c r="J209" s="671"/>
      <c r="K209" s="671"/>
      <c r="L209" s="671"/>
      <c r="M209" s="671"/>
      <c r="N209" s="671"/>
      <c r="O209" s="671"/>
      <c r="P209" s="671"/>
      <c r="Q209" s="671"/>
      <c r="R209" s="671"/>
      <c r="S209" s="671"/>
      <c r="T209" s="671"/>
      <c r="U209" s="671"/>
      <c r="V209" s="671"/>
      <c r="W209" s="671"/>
      <c r="X209" s="671"/>
    </row>
    <row r="210" spans="8:24" x14ac:dyDescent="0.35">
      <c r="H210" s="671"/>
      <c r="I210" s="671"/>
      <c r="J210" s="671"/>
      <c r="K210" s="671"/>
      <c r="L210" s="671"/>
      <c r="M210" s="671"/>
      <c r="N210" s="671"/>
      <c r="O210" s="671"/>
      <c r="P210" s="671"/>
      <c r="Q210" s="671"/>
      <c r="R210" s="671"/>
      <c r="S210" s="671"/>
      <c r="T210" s="671"/>
      <c r="U210" s="671"/>
      <c r="V210" s="671"/>
      <c r="W210" s="671"/>
      <c r="X210" s="671"/>
    </row>
    <row r="211" spans="8:24" x14ac:dyDescent="0.35">
      <c r="H211" s="671"/>
      <c r="I211" s="671"/>
      <c r="J211" s="671"/>
      <c r="K211" s="671"/>
      <c r="L211" s="671"/>
      <c r="M211" s="671"/>
      <c r="N211" s="671"/>
      <c r="O211" s="671"/>
      <c r="P211" s="671"/>
      <c r="Q211" s="671"/>
      <c r="R211" s="671"/>
      <c r="S211" s="671"/>
      <c r="T211" s="671"/>
      <c r="U211" s="671"/>
      <c r="V211" s="671"/>
      <c r="W211" s="671"/>
      <c r="X211" s="671"/>
    </row>
    <row r="212" spans="8:24" x14ac:dyDescent="0.35">
      <c r="H212" s="671"/>
      <c r="I212" s="671"/>
      <c r="J212" s="671"/>
      <c r="K212" s="671"/>
      <c r="L212" s="671"/>
      <c r="M212" s="671"/>
      <c r="N212" s="671"/>
      <c r="O212" s="671"/>
      <c r="P212" s="671"/>
      <c r="Q212" s="671"/>
      <c r="R212" s="671"/>
      <c r="S212" s="671"/>
      <c r="T212" s="671"/>
      <c r="U212" s="671"/>
      <c r="V212" s="671"/>
      <c r="W212" s="671"/>
      <c r="X212" s="671"/>
    </row>
    <row r="213" spans="8:24" x14ac:dyDescent="0.35">
      <c r="H213" s="671"/>
      <c r="I213" s="671"/>
      <c r="J213" s="671"/>
      <c r="K213" s="671"/>
      <c r="L213" s="671"/>
      <c r="M213" s="671"/>
      <c r="N213" s="671"/>
      <c r="O213" s="671"/>
      <c r="P213" s="671"/>
      <c r="Q213" s="671"/>
      <c r="R213" s="671"/>
      <c r="S213" s="671"/>
      <c r="T213" s="671"/>
      <c r="U213" s="671"/>
      <c r="V213" s="671"/>
      <c r="W213" s="671"/>
      <c r="X213" s="671"/>
    </row>
    <row r="214" spans="8:24" x14ac:dyDescent="0.35">
      <c r="H214" s="671"/>
      <c r="I214" s="671"/>
      <c r="J214" s="671"/>
      <c r="K214" s="671"/>
      <c r="L214" s="671"/>
      <c r="M214" s="671"/>
      <c r="N214" s="671"/>
      <c r="O214" s="671"/>
      <c r="P214" s="671"/>
      <c r="Q214" s="671"/>
      <c r="R214" s="671"/>
      <c r="S214" s="671"/>
      <c r="T214" s="671"/>
      <c r="U214" s="671"/>
      <c r="V214" s="671"/>
      <c r="W214" s="671"/>
      <c r="X214" s="671"/>
    </row>
    <row r="215" spans="8:24" x14ac:dyDescent="0.35">
      <c r="H215" s="671"/>
      <c r="I215" s="671"/>
      <c r="J215" s="671"/>
      <c r="K215" s="671"/>
      <c r="L215" s="671"/>
      <c r="M215" s="671"/>
      <c r="N215" s="671"/>
      <c r="O215" s="671"/>
      <c r="P215" s="671"/>
      <c r="Q215" s="671"/>
      <c r="R215" s="671"/>
      <c r="S215" s="671"/>
      <c r="T215" s="671"/>
      <c r="U215" s="671"/>
      <c r="V215" s="671"/>
      <c r="W215" s="671"/>
      <c r="X215" s="671"/>
    </row>
    <row r="216" spans="8:24" x14ac:dyDescent="0.35">
      <c r="H216" s="671"/>
      <c r="I216" s="671"/>
      <c r="J216" s="671"/>
      <c r="K216" s="671"/>
      <c r="L216" s="671"/>
      <c r="M216" s="671"/>
      <c r="N216" s="671"/>
      <c r="O216" s="671"/>
      <c r="P216" s="671"/>
      <c r="Q216" s="671"/>
      <c r="R216" s="671"/>
      <c r="S216" s="671"/>
      <c r="T216" s="671"/>
      <c r="U216" s="671"/>
      <c r="V216" s="671"/>
      <c r="W216" s="671"/>
      <c r="X216" s="671"/>
    </row>
    <row r="217" spans="8:24" x14ac:dyDescent="0.35">
      <c r="H217" s="671"/>
      <c r="I217" s="671"/>
      <c r="J217" s="671"/>
      <c r="K217" s="671"/>
      <c r="L217" s="671"/>
      <c r="M217" s="671"/>
      <c r="N217" s="671"/>
      <c r="O217" s="671"/>
      <c r="P217" s="671"/>
      <c r="Q217" s="671"/>
      <c r="R217" s="671"/>
      <c r="S217" s="671"/>
      <c r="T217" s="671"/>
      <c r="U217" s="671"/>
      <c r="V217" s="671"/>
      <c r="W217" s="671"/>
      <c r="X217" s="671"/>
    </row>
    <row r="218" spans="8:24" x14ac:dyDescent="0.35">
      <c r="H218" s="671"/>
      <c r="I218" s="671"/>
      <c r="J218" s="671"/>
      <c r="K218" s="671"/>
      <c r="L218" s="671"/>
      <c r="M218" s="671"/>
      <c r="N218" s="671"/>
      <c r="O218" s="671"/>
      <c r="P218" s="671"/>
      <c r="Q218" s="671"/>
      <c r="R218" s="671"/>
      <c r="S218" s="671"/>
      <c r="T218" s="671"/>
      <c r="U218" s="671"/>
      <c r="V218" s="671"/>
      <c r="W218" s="671"/>
      <c r="X218" s="671"/>
    </row>
    <row r="219" spans="8:24" x14ac:dyDescent="0.35">
      <c r="H219" s="671"/>
      <c r="I219" s="671"/>
      <c r="J219" s="671"/>
      <c r="K219" s="671"/>
      <c r="L219" s="671"/>
      <c r="M219" s="671"/>
      <c r="N219" s="671"/>
      <c r="O219" s="671"/>
      <c r="P219" s="671"/>
      <c r="Q219" s="671"/>
      <c r="R219" s="671"/>
      <c r="S219" s="671"/>
      <c r="T219" s="671"/>
      <c r="U219" s="671"/>
      <c r="V219" s="671"/>
      <c r="W219" s="671"/>
      <c r="X219" s="671"/>
    </row>
    <row r="220" spans="8:24" x14ac:dyDescent="0.35">
      <c r="H220" s="671"/>
      <c r="I220" s="671"/>
      <c r="J220" s="671"/>
      <c r="K220" s="671"/>
      <c r="L220" s="671"/>
      <c r="M220" s="671"/>
      <c r="N220" s="671"/>
      <c r="O220" s="671"/>
      <c r="P220" s="671"/>
      <c r="Q220" s="671"/>
      <c r="R220" s="671"/>
      <c r="S220" s="671"/>
      <c r="T220" s="671"/>
      <c r="U220" s="671"/>
      <c r="V220" s="671"/>
      <c r="W220" s="671"/>
      <c r="X220" s="671"/>
    </row>
    <row r="221" spans="8:24" x14ac:dyDescent="0.35">
      <c r="H221" s="671"/>
      <c r="I221" s="671"/>
      <c r="J221" s="671"/>
      <c r="K221" s="671"/>
      <c r="L221" s="671"/>
      <c r="M221" s="671"/>
      <c r="N221" s="671"/>
      <c r="O221" s="671"/>
      <c r="P221" s="671"/>
      <c r="Q221" s="671"/>
      <c r="R221" s="671"/>
      <c r="S221" s="671"/>
      <c r="T221" s="671"/>
      <c r="U221" s="671"/>
      <c r="V221" s="671"/>
      <c r="W221" s="671"/>
      <c r="X221" s="671"/>
    </row>
    <row r="222" spans="8:24" x14ac:dyDescent="0.35">
      <c r="H222" s="671"/>
      <c r="I222" s="671"/>
      <c r="J222" s="671"/>
      <c r="K222" s="671"/>
      <c r="L222" s="671"/>
      <c r="M222" s="671"/>
      <c r="N222" s="671"/>
      <c r="O222" s="671"/>
      <c r="P222" s="671"/>
      <c r="Q222" s="671"/>
      <c r="R222" s="671"/>
      <c r="S222" s="671"/>
      <c r="T222" s="671"/>
      <c r="U222" s="671"/>
      <c r="V222" s="671"/>
      <c r="W222" s="671"/>
      <c r="X222" s="671"/>
    </row>
    <row r="223" spans="8:24" x14ac:dyDescent="0.35">
      <c r="H223" s="671"/>
      <c r="I223" s="671"/>
      <c r="J223" s="671"/>
      <c r="K223" s="671"/>
      <c r="L223" s="671"/>
      <c r="M223" s="671"/>
      <c r="N223" s="671"/>
      <c r="O223" s="671"/>
      <c r="P223" s="671"/>
      <c r="Q223" s="671"/>
      <c r="R223" s="671"/>
      <c r="S223" s="671"/>
      <c r="T223" s="671"/>
      <c r="U223" s="671"/>
      <c r="V223" s="671"/>
      <c r="W223" s="671"/>
      <c r="X223" s="671"/>
    </row>
    <row r="224" spans="8:24" x14ac:dyDescent="0.35">
      <c r="H224" s="671"/>
      <c r="I224" s="671"/>
      <c r="J224" s="671"/>
      <c r="K224" s="671"/>
      <c r="L224" s="671"/>
      <c r="M224" s="671"/>
      <c r="N224" s="671"/>
      <c r="O224" s="671"/>
      <c r="P224" s="671"/>
      <c r="Q224" s="671"/>
      <c r="R224" s="671"/>
      <c r="S224" s="671"/>
      <c r="T224" s="671"/>
      <c r="U224" s="671"/>
      <c r="V224" s="671"/>
      <c r="W224" s="671"/>
      <c r="X224" s="671"/>
    </row>
    <row r="225" spans="8:24" x14ac:dyDescent="0.35">
      <c r="H225" s="671"/>
      <c r="I225" s="671"/>
      <c r="J225" s="671"/>
      <c r="K225" s="671"/>
      <c r="L225" s="671"/>
      <c r="M225" s="671"/>
      <c r="N225" s="671"/>
      <c r="O225" s="671"/>
      <c r="P225" s="671"/>
      <c r="Q225" s="671"/>
      <c r="R225" s="671"/>
      <c r="S225" s="671"/>
      <c r="T225" s="671"/>
      <c r="U225" s="671"/>
      <c r="V225" s="671"/>
      <c r="W225" s="671"/>
      <c r="X225" s="671"/>
    </row>
    <row r="226" spans="8:24" x14ac:dyDescent="0.35">
      <c r="H226" s="671"/>
      <c r="I226" s="671"/>
      <c r="J226" s="671"/>
      <c r="K226" s="671"/>
      <c r="L226" s="671"/>
      <c r="M226" s="671"/>
      <c r="N226" s="671"/>
      <c r="O226" s="671"/>
      <c r="P226" s="671"/>
      <c r="Q226" s="671"/>
      <c r="R226" s="671"/>
      <c r="S226" s="671"/>
      <c r="T226" s="671"/>
      <c r="U226" s="671"/>
      <c r="V226" s="671"/>
      <c r="W226" s="671"/>
      <c r="X226" s="671"/>
    </row>
    <row r="227" spans="8:24" x14ac:dyDescent="0.35">
      <c r="H227" s="671"/>
      <c r="I227" s="671"/>
      <c r="J227" s="671"/>
      <c r="K227" s="671"/>
      <c r="L227" s="671"/>
      <c r="M227" s="671"/>
      <c r="N227" s="671"/>
      <c r="O227" s="671"/>
      <c r="P227" s="671"/>
      <c r="Q227" s="671"/>
      <c r="R227" s="671"/>
      <c r="S227" s="671"/>
      <c r="T227" s="671"/>
      <c r="U227" s="671"/>
      <c r="V227" s="671"/>
      <c r="W227" s="671"/>
      <c r="X227" s="671"/>
    </row>
    <row r="228" spans="8:24" x14ac:dyDescent="0.35">
      <c r="H228" s="671"/>
      <c r="I228" s="671"/>
      <c r="J228" s="671"/>
      <c r="K228" s="671"/>
      <c r="L228" s="671"/>
      <c r="M228" s="671"/>
      <c r="N228" s="671"/>
      <c r="O228" s="671"/>
      <c r="P228" s="671"/>
      <c r="Q228" s="671"/>
      <c r="R228" s="671"/>
      <c r="S228" s="671"/>
      <c r="T228" s="671"/>
      <c r="U228" s="671"/>
      <c r="V228" s="671"/>
      <c r="W228" s="671"/>
      <c r="X228" s="671"/>
    </row>
    <row r="229" spans="8:24" x14ac:dyDescent="0.35">
      <c r="H229" s="671"/>
      <c r="I229" s="671"/>
      <c r="J229" s="671"/>
      <c r="K229" s="671"/>
      <c r="L229" s="671"/>
      <c r="M229" s="671"/>
      <c r="N229" s="671"/>
      <c r="O229" s="671"/>
      <c r="P229" s="671"/>
      <c r="Q229" s="671"/>
      <c r="R229" s="671"/>
      <c r="S229" s="671"/>
      <c r="T229" s="671"/>
      <c r="U229" s="671"/>
      <c r="V229" s="671"/>
      <c r="W229" s="671"/>
      <c r="X229" s="671"/>
    </row>
    <row r="230" spans="8:24" x14ac:dyDescent="0.35">
      <c r="H230" s="671"/>
      <c r="I230" s="671"/>
      <c r="J230" s="671"/>
      <c r="K230" s="671"/>
      <c r="L230" s="671"/>
      <c r="M230" s="671"/>
      <c r="N230" s="671"/>
      <c r="O230" s="671"/>
      <c r="P230" s="671"/>
      <c r="Q230" s="671"/>
      <c r="R230" s="671"/>
      <c r="S230" s="671"/>
      <c r="T230" s="671"/>
      <c r="U230" s="671"/>
      <c r="V230" s="671"/>
      <c r="W230" s="671"/>
      <c r="X230" s="671"/>
    </row>
    <row r="231" spans="8:24" x14ac:dyDescent="0.35">
      <c r="H231" s="671"/>
      <c r="I231" s="671"/>
      <c r="J231" s="671"/>
      <c r="K231" s="671"/>
      <c r="L231" s="671"/>
      <c r="M231" s="671"/>
      <c r="N231" s="671"/>
      <c r="O231" s="671"/>
      <c r="P231" s="671"/>
      <c r="Q231" s="671"/>
      <c r="R231" s="671"/>
      <c r="S231" s="671"/>
      <c r="T231" s="671"/>
      <c r="U231" s="671"/>
      <c r="V231" s="671"/>
      <c r="W231" s="671"/>
      <c r="X231" s="671"/>
    </row>
    <row r="232" spans="8:24" x14ac:dyDescent="0.35">
      <c r="H232" s="671"/>
      <c r="I232" s="671"/>
      <c r="J232" s="671"/>
      <c r="K232" s="671"/>
      <c r="L232" s="671"/>
      <c r="M232" s="671"/>
      <c r="N232" s="671"/>
      <c r="O232" s="671"/>
      <c r="P232" s="671"/>
      <c r="Q232" s="671"/>
      <c r="R232" s="671"/>
      <c r="S232" s="671"/>
      <c r="T232" s="671"/>
      <c r="U232" s="671"/>
      <c r="V232" s="671"/>
      <c r="W232" s="671"/>
      <c r="X232" s="671"/>
    </row>
    <row r="233" spans="8:24" x14ac:dyDescent="0.35">
      <c r="H233" s="671"/>
      <c r="I233" s="671"/>
      <c r="J233" s="671"/>
      <c r="K233" s="671"/>
      <c r="L233" s="671"/>
      <c r="M233" s="671"/>
      <c r="N233" s="671"/>
      <c r="O233" s="671"/>
      <c r="P233" s="671"/>
      <c r="Q233" s="671"/>
      <c r="R233" s="671"/>
      <c r="S233" s="671"/>
      <c r="T233" s="671"/>
      <c r="U233" s="671"/>
      <c r="V233" s="671"/>
      <c r="W233" s="671"/>
      <c r="X233" s="671"/>
    </row>
    <row r="234" spans="8:24" x14ac:dyDescent="0.35">
      <c r="H234" s="671"/>
      <c r="I234" s="671"/>
      <c r="J234" s="671"/>
      <c r="K234" s="671"/>
      <c r="L234" s="671"/>
      <c r="M234" s="671"/>
      <c r="N234" s="671"/>
      <c r="O234" s="671"/>
      <c r="P234" s="671"/>
      <c r="Q234" s="671"/>
      <c r="R234" s="671"/>
      <c r="S234" s="671"/>
      <c r="T234" s="671"/>
      <c r="U234" s="671"/>
      <c r="V234" s="671"/>
      <c r="W234" s="671"/>
      <c r="X234" s="671"/>
    </row>
    <row r="235" spans="8:24" x14ac:dyDescent="0.35">
      <c r="H235" s="671"/>
      <c r="I235" s="671"/>
      <c r="J235" s="671"/>
      <c r="K235" s="671"/>
      <c r="L235" s="671"/>
      <c r="M235" s="671"/>
      <c r="N235" s="671"/>
      <c r="O235" s="671"/>
      <c r="P235" s="671"/>
      <c r="Q235" s="671"/>
      <c r="R235" s="671"/>
      <c r="S235" s="671"/>
      <c r="T235" s="671"/>
      <c r="U235" s="671"/>
      <c r="V235" s="671"/>
      <c r="W235" s="671"/>
      <c r="X235" s="671"/>
    </row>
    <row r="236" spans="8:24" x14ac:dyDescent="0.35">
      <c r="H236" s="671"/>
      <c r="I236" s="671"/>
      <c r="J236" s="671"/>
      <c r="K236" s="671"/>
      <c r="L236" s="671"/>
      <c r="M236" s="671"/>
      <c r="N236" s="671"/>
      <c r="O236" s="671"/>
      <c r="P236" s="671"/>
      <c r="Q236" s="671"/>
      <c r="R236" s="671"/>
      <c r="S236" s="671"/>
      <c r="T236" s="671"/>
      <c r="U236" s="671"/>
      <c r="V236" s="671"/>
      <c r="W236" s="671"/>
      <c r="X236" s="671"/>
    </row>
    <row r="237" spans="8:24" x14ac:dyDescent="0.35">
      <c r="H237" s="671"/>
      <c r="I237" s="671"/>
      <c r="J237" s="671"/>
      <c r="K237" s="671"/>
      <c r="L237" s="671"/>
      <c r="M237" s="671"/>
      <c r="N237" s="671"/>
      <c r="O237" s="671"/>
      <c r="P237" s="671"/>
      <c r="Q237" s="671"/>
      <c r="R237" s="671"/>
      <c r="S237" s="671"/>
      <c r="T237" s="671"/>
      <c r="U237" s="671"/>
      <c r="V237" s="671"/>
      <c r="W237" s="671"/>
      <c r="X237" s="671"/>
    </row>
    <row r="238" spans="8:24" x14ac:dyDescent="0.35">
      <c r="H238" s="671"/>
      <c r="I238" s="671"/>
      <c r="J238" s="671"/>
      <c r="K238" s="671"/>
      <c r="L238" s="671"/>
      <c r="M238" s="671"/>
      <c r="N238" s="671"/>
      <c r="O238" s="671"/>
      <c r="P238" s="671"/>
      <c r="Q238" s="671"/>
      <c r="R238" s="671"/>
      <c r="S238" s="671"/>
      <c r="T238" s="671"/>
      <c r="U238" s="671"/>
      <c r="V238" s="671"/>
      <c r="W238" s="671"/>
      <c r="X238" s="671"/>
    </row>
    <row r="239" spans="8:24" x14ac:dyDescent="0.35">
      <c r="H239" s="671"/>
      <c r="I239" s="671"/>
      <c r="J239" s="671"/>
      <c r="K239" s="671"/>
      <c r="L239" s="671"/>
      <c r="M239" s="671"/>
      <c r="N239" s="671"/>
      <c r="O239" s="671"/>
      <c r="P239" s="671"/>
      <c r="Q239" s="671"/>
      <c r="R239" s="671"/>
      <c r="S239" s="671"/>
      <c r="T239" s="671"/>
      <c r="U239" s="671"/>
      <c r="V239" s="671"/>
      <c r="W239" s="671"/>
      <c r="X23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pageSetUpPr fitToPage="1"/>
  </sheetPr>
  <dimension ref="B3:X239"/>
  <sheetViews>
    <sheetView topLeftCell="A5" workbookViewId="0">
      <selection activeCell="D25" sqref="D25"/>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row>
    <row r="8" spans="3:19" ht="12" customHeight="1" x14ac:dyDescent="0.35"/>
    <row r="9" spans="3:19" ht="15.65" hidden="1" customHeight="1" thickBot="1" x14ac:dyDescent="0.4">
      <c r="C9" s="723" t="s">
        <v>245</v>
      </c>
      <c r="D9" s="725" t="s">
        <v>246</v>
      </c>
      <c r="E9" s="726"/>
      <c r="F9" s="726"/>
      <c r="G9" s="726"/>
      <c r="H9" s="727"/>
      <c r="I9" s="728" t="s">
        <v>247</v>
      </c>
      <c r="K9" s="671"/>
      <c r="L9" s="671"/>
      <c r="M9" s="671"/>
      <c r="N9" s="671"/>
      <c r="O9" s="671"/>
    </row>
    <row r="10" spans="3:19" ht="15" hidden="1"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hidden="1" customHeight="1" x14ac:dyDescent="0.35">
      <c r="C11" s="724"/>
      <c r="D11" s="731" t="s">
        <v>253</v>
      </c>
      <c r="E11" s="732"/>
      <c r="F11" s="732"/>
      <c r="G11" s="732"/>
      <c r="H11" s="728"/>
      <c r="I11" s="730"/>
      <c r="K11" s="671"/>
      <c r="L11" s="671"/>
      <c r="M11" s="671"/>
      <c r="N11" s="671"/>
      <c r="O11" s="671"/>
      <c r="P11" s="671"/>
      <c r="R11">
        <v>30</v>
      </c>
      <c r="S11">
        <f>+D16</f>
        <v>3.0288E-4</v>
      </c>
    </row>
    <row r="12" spans="3:19" ht="21" hidden="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hidden="1"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hidden="1"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hidden="1"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hidden="1"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hidden="1"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v>1</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v>18</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f>IF(COTIZADOR!D12&lt;250000,50000,500000)</f>
        <v>50000</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f>+IF(D21=1,IF(D24=K10,VLOOKUP(D22,'ANEXO No.1'!B11:G76,2),IF('Depen B'!D24='Depen B'!L10,VLOOKUP(D22,'ANEXO No.1'!B11:G76,3),IF('Depen B'!D24='Depen B'!M10,VLOOKUP(D22,'ANEXO No.1'!B11:G76,4),IF('Depen B'!D24='Depen B'!N10,VLOOKUP(D22,'ANEXO No.1'!B11:G76,5),IF('Depen B'!D24='Depen B'!O10,VLOOKUP(D22,'ANEXO No.1'!B11:G76,6))))))*D24,IF(D24=K10,VLOOKUP(D22,'ANEXO No.1'!B11:G76,2),IF('Depen B'!D24='Depen B'!L10,VLOOKUP(D22,'ANEXO No.1'!B11:G76,3),IF('Depen B'!D24='Depen B'!M10,VLOOKUP(D22,'ANEXO No.1'!B11:G76,4),IF('Depen B'!D24='Depen B'!N10,VLOOKUP(D22,'ANEXO No.1'!B11:G76,5),IF('Depen B'!D24='Depen B'!O10,VLOOKUP(D22,'ANEXO No.1'!B11:G76,6))))))*D24*1.15)</f>
        <v>114.34500000000001</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f>SUM(E26:E29)</f>
        <v>114.34500000000001</v>
      </c>
      <c r="F30" s="639">
        <f>E30/(1-0.4)</f>
        <v>190.57500000000002</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f>+F30</f>
        <v>190.57500000000002</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1" spans="2:24" x14ac:dyDescent="0.35">
      <c r="H61" s="671"/>
      <c r="I61" s="671"/>
      <c r="J61" s="671"/>
      <c r="K61" s="671"/>
      <c r="L61" s="671"/>
      <c r="M61" s="671"/>
      <c r="N61" s="671"/>
      <c r="O61" s="671"/>
      <c r="P61" s="671"/>
      <c r="Q61" s="671"/>
      <c r="R61" s="671"/>
      <c r="S61" s="671"/>
      <c r="T61" s="671"/>
      <c r="U61" s="671"/>
      <c r="V61" s="671"/>
      <c r="W61" s="671"/>
      <c r="X61"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row r="80" spans="8:24" x14ac:dyDescent="0.35">
      <c r="H80" s="671"/>
      <c r="I80" s="671"/>
      <c r="J80" s="671"/>
      <c r="K80" s="671"/>
      <c r="L80" s="671"/>
      <c r="M80" s="671"/>
      <c r="N80" s="671"/>
      <c r="O80" s="671"/>
      <c r="P80" s="671"/>
      <c r="Q80" s="671"/>
      <c r="R80" s="671"/>
      <c r="S80" s="671"/>
      <c r="T80" s="671"/>
      <c r="U80" s="671"/>
      <c r="V80" s="671"/>
      <c r="W80" s="671"/>
      <c r="X80" s="671"/>
    </row>
    <row r="81" spans="8:24" x14ac:dyDescent="0.35">
      <c r="H81" s="671"/>
      <c r="I81" s="671"/>
      <c r="J81" s="671"/>
      <c r="K81" s="671"/>
      <c r="L81" s="671"/>
      <c r="M81" s="671"/>
      <c r="N81" s="671"/>
      <c r="O81" s="671"/>
      <c r="P81" s="671"/>
      <c r="Q81" s="671"/>
      <c r="R81" s="671"/>
      <c r="S81" s="671"/>
      <c r="T81" s="671"/>
      <c r="U81" s="671"/>
      <c r="V81" s="671"/>
      <c r="W81" s="671"/>
      <c r="X81" s="671"/>
    </row>
    <row r="82" spans="8:24" x14ac:dyDescent="0.35">
      <c r="H82" s="671"/>
      <c r="I82" s="671"/>
      <c r="J82" s="671"/>
      <c r="K82" s="671"/>
      <c r="L82" s="671"/>
      <c r="M82" s="671"/>
      <c r="N82" s="671"/>
      <c r="O82" s="671"/>
      <c r="P82" s="671"/>
      <c r="Q82" s="671"/>
      <c r="R82" s="671"/>
      <c r="S82" s="671"/>
      <c r="T82" s="671"/>
      <c r="U82" s="671"/>
      <c r="V82" s="671"/>
      <c r="W82" s="671"/>
      <c r="X82" s="671"/>
    </row>
    <row r="83" spans="8:24" x14ac:dyDescent="0.35">
      <c r="H83" s="671"/>
      <c r="I83" s="671"/>
      <c r="J83" s="671"/>
      <c r="K83" s="671"/>
      <c r="L83" s="671"/>
      <c r="M83" s="671"/>
      <c r="N83" s="671"/>
      <c r="O83" s="671"/>
      <c r="P83" s="671"/>
      <c r="Q83" s="671"/>
      <c r="R83" s="671"/>
      <c r="S83" s="671"/>
      <c r="T83" s="671"/>
      <c r="U83" s="671"/>
      <c r="V83" s="671"/>
      <c r="W83" s="671"/>
      <c r="X83" s="671"/>
    </row>
    <row r="84" spans="8:24" x14ac:dyDescent="0.35">
      <c r="H84" s="671"/>
      <c r="I84" s="671"/>
      <c r="J84" s="671"/>
      <c r="K84" s="671"/>
      <c r="L84" s="671"/>
      <c r="M84" s="671"/>
      <c r="N84" s="671"/>
      <c r="O84" s="671"/>
      <c r="P84" s="671"/>
      <c r="Q84" s="671"/>
      <c r="R84" s="671"/>
      <c r="S84" s="671"/>
      <c r="T84" s="671"/>
      <c r="U84" s="671"/>
      <c r="V84" s="671"/>
      <c r="W84" s="671"/>
      <c r="X84" s="671"/>
    </row>
    <row r="85" spans="8:24" x14ac:dyDescent="0.35">
      <c r="H85" s="671"/>
      <c r="I85" s="671"/>
      <c r="J85" s="671"/>
      <c r="K85" s="671"/>
      <c r="L85" s="671"/>
      <c r="M85" s="671"/>
      <c r="N85" s="671"/>
      <c r="O85" s="671"/>
      <c r="P85" s="671"/>
      <c r="Q85" s="671"/>
      <c r="R85" s="671"/>
      <c r="S85" s="671"/>
      <c r="T85" s="671"/>
      <c r="U85" s="671"/>
      <c r="V85" s="671"/>
      <c r="W85" s="671"/>
      <c r="X85" s="671"/>
    </row>
    <row r="86" spans="8:24" x14ac:dyDescent="0.35">
      <c r="H86" s="671"/>
      <c r="I86" s="671"/>
      <c r="J86" s="671"/>
      <c r="K86" s="671"/>
      <c r="L86" s="671"/>
      <c r="M86" s="671"/>
      <c r="N86" s="671"/>
      <c r="O86" s="671"/>
      <c r="P86" s="671"/>
      <c r="Q86" s="671"/>
      <c r="R86" s="671"/>
      <c r="S86" s="671"/>
      <c r="T86" s="671"/>
      <c r="U86" s="671"/>
      <c r="V86" s="671"/>
      <c r="W86" s="671"/>
      <c r="X86" s="671"/>
    </row>
    <row r="87" spans="8:24" x14ac:dyDescent="0.35">
      <c r="H87" s="671"/>
      <c r="I87" s="671"/>
      <c r="J87" s="671"/>
      <c r="K87" s="671"/>
      <c r="L87" s="671"/>
      <c r="M87" s="671"/>
      <c r="N87" s="671"/>
      <c r="O87" s="671"/>
      <c r="P87" s="671"/>
      <c r="Q87" s="671"/>
      <c r="R87" s="671"/>
      <c r="S87" s="671"/>
      <c r="T87" s="671"/>
      <c r="U87" s="671"/>
      <c r="V87" s="671"/>
      <c r="W87" s="671"/>
      <c r="X87" s="671"/>
    </row>
    <row r="88" spans="8:24" x14ac:dyDescent="0.35">
      <c r="H88" s="671"/>
      <c r="I88" s="671"/>
      <c r="J88" s="671"/>
      <c r="K88" s="671"/>
      <c r="L88" s="671"/>
      <c r="M88" s="671"/>
      <c r="N88" s="671"/>
      <c r="O88" s="671"/>
      <c r="P88" s="671"/>
      <c r="Q88" s="671"/>
      <c r="R88" s="671"/>
      <c r="S88" s="671"/>
      <c r="T88" s="671"/>
      <c r="U88" s="671"/>
      <c r="V88" s="671"/>
      <c r="W88" s="671"/>
      <c r="X88" s="671"/>
    </row>
    <row r="89" spans="8:24" x14ac:dyDescent="0.35">
      <c r="H89" s="671"/>
      <c r="I89" s="671"/>
      <c r="J89" s="671"/>
      <c r="K89" s="671"/>
      <c r="L89" s="671"/>
      <c r="M89" s="671"/>
      <c r="N89" s="671"/>
      <c r="O89" s="671"/>
      <c r="P89" s="671"/>
      <c r="Q89" s="671"/>
      <c r="R89" s="671"/>
      <c r="S89" s="671"/>
      <c r="T89" s="671"/>
      <c r="U89" s="671"/>
      <c r="V89" s="671"/>
      <c r="W89" s="671"/>
      <c r="X89" s="671"/>
    </row>
    <row r="90" spans="8:24" x14ac:dyDescent="0.35">
      <c r="H90" s="671"/>
      <c r="I90" s="671"/>
      <c r="J90" s="671"/>
      <c r="K90" s="671"/>
      <c r="L90" s="671"/>
      <c r="M90" s="671"/>
      <c r="N90" s="671"/>
      <c r="O90" s="671"/>
      <c r="P90" s="671"/>
      <c r="Q90" s="671"/>
      <c r="R90" s="671"/>
      <c r="S90" s="671"/>
      <c r="T90" s="671"/>
      <c r="U90" s="671"/>
      <c r="V90" s="671"/>
      <c r="W90" s="671"/>
      <c r="X90" s="671"/>
    </row>
    <row r="91" spans="8:24" x14ac:dyDescent="0.35">
      <c r="H91" s="671"/>
      <c r="I91" s="671"/>
      <c r="J91" s="671"/>
      <c r="K91" s="671"/>
      <c r="L91" s="671"/>
      <c r="M91" s="671"/>
      <c r="N91" s="671"/>
      <c r="O91" s="671"/>
      <c r="P91" s="671"/>
      <c r="Q91" s="671"/>
      <c r="R91" s="671"/>
      <c r="S91" s="671"/>
      <c r="T91" s="671"/>
      <c r="U91" s="671"/>
      <c r="V91" s="671"/>
      <c r="W91" s="671"/>
      <c r="X91" s="671"/>
    </row>
    <row r="92" spans="8:24" x14ac:dyDescent="0.35">
      <c r="H92" s="671"/>
      <c r="I92" s="671"/>
      <c r="J92" s="671"/>
      <c r="K92" s="671"/>
      <c r="L92" s="671"/>
      <c r="M92" s="671"/>
      <c r="N92" s="671"/>
      <c r="O92" s="671"/>
      <c r="P92" s="671"/>
      <c r="Q92" s="671"/>
      <c r="R92" s="671"/>
      <c r="S92" s="671"/>
      <c r="T92" s="671"/>
      <c r="U92" s="671"/>
      <c r="V92" s="671"/>
      <c r="W92" s="671"/>
      <c r="X92" s="671"/>
    </row>
    <row r="93" spans="8:24" x14ac:dyDescent="0.35">
      <c r="H93" s="671"/>
      <c r="I93" s="671"/>
      <c r="J93" s="671"/>
      <c r="K93" s="671"/>
      <c r="L93" s="671"/>
      <c r="M93" s="671"/>
      <c r="N93" s="671"/>
      <c r="O93" s="671"/>
      <c r="P93" s="671"/>
      <c r="Q93" s="671"/>
      <c r="R93" s="671"/>
      <c r="S93" s="671"/>
      <c r="T93" s="671"/>
      <c r="U93" s="671"/>
      <c r="V93" s="671"/>
      <c r="W93" s="671"/>
      <c r="X93" s="671"/>
    </row>
    <row r="94" spans="8:24" x14ac:dyDescent="0.35">
      <c r="H94" s="671"/>
      <c r="I94" s="671"/>
      <c r="J94" s="671"/>
      <c r="K94" s="671"/>
      <c r="L94" s="671"/>
      <c r="M94" s="671"/>
      <c r="N94" s="671"/>
      <c r="O94" s="671"/>
      <c r="P94" s="671"/>
      <c r="Q94" s="671"/>
      <c r="R94" s="671"/>
      <c r="S94" s="671"/>
      <c r="T94" s="671"/>
      <c r="U94" s="671"/>
      <c r="V94" s="671"/>
      <c r="W94" s="671"/>
      <c r="X94" s="671"/>
    </row>
    <row r="95" spans="8:24" x14ac:dyDescent="0.35">
      <c r="H95" s="671"/>
      <c r="I95" s="671"/>
      <c r="J95" s="671"/>
      <c r="K95" s="671"/>
      <c r="L95" s="671"/>
      <c r="M95" s="671"/>
      <c r="N95" s="671"/>
      <c r="O95" s="671"/>
      <c r="P95" s="671"/>
      <c r="Q95" s="671"/>
      <c r="R95" s="671"/>
      <c r="S95" s="671"/>
      <c r="T95" s="671"/>
      <c r="U95" s="671"/>
      <c r="V95" s="671"/>
      <c r="W95" s="671"/>
      <c r="X95" s="671"/>
    </row>
    <row r="96" spans="8:24" x14ac:dyDescent="0.35">
      <c r="H96" s="671"/>
      <c r="I96" s="671"/>
      <c r="J96" s="671"/>
      <c r="K96" s="671"/>
      <c r="L96" s="671"/>
      <c r="M96" s="671"/>
      <c r="N96" s="671"/>
      <c r="O96" s="671"/>
      <c r="P96" s="671"/>
      <c r="Q96" s="671"/>
      <c r="R96" s="671"/>
      <c r="S96" s="671"/>
      <c r="T96" s="671"/>
      <c r="U96" s="671"/>
      <c r="V96" s="671"/>
      <c r="W96" s="671"/>
      <c r="X96" s="671"/>
    </row>
    <row r="97" spans="8:24" x14ac:dyDescent="0.35">
      <c r="H97" s="671"/>
      <c r="I97" s="671"/>
      <c r="J97" s="671"/>
      <c r="K97" s="671"/>
      <c r="L97" s="671"/>
      <c r="M97" s="671"/>
      <c r="N97" s="671"/>
      <c r="O97" s="671"/>
      <c r="P97" s="671"/>
      <c r="Q97" s="671"/>
      <c r="R97" s="671"/>
      <c r="S97" s="671"/>
      <c r="T97" s="671"/>
      <c r="U97" s="671"/>
      <c r="V97" s="671"/>
      <c r="W97" s="671"/>
      <c r="X97" s="671"/>
    </row>
    <row r="98" spans="8:24" x14ac:dyDescent="0.35">
      <c r="H98" s="671"/>
      <c r="I98" s="671"/>
      <c r="J98" s="671"/>
      <c r="K98" s="671"/>
      <c r="L98" s="671"/>
      <c r="M98" s="671"/>
      <c r="N98" s="671"/>
      <c r="O98" s="671"/>
      <c r="P98" s="671"/>
      <c r="Q98" s="671"/>
      <c r="R98" s="671"/>
      <c r="S98" s="671"/>
      <c r="T98" s="671"/>
      <c r="U98" s="671"/>
      <c r="V98" s="671"/>
      <c r="W98" s="671"/>
      <c r="X98" s="671"/>
    </row>
    <row r="99" spans="8:24" x14ac:dyDescent="0.35">
      <c r="H99" s="671"/>
      <c r="I99" s="671"/>
      <c r="J99" s="671"/>
      <c r="K99" s="671"/>
      <c r="L99" s="671"/>
      <c r="M99" s="671"/>
      <c r="N99" s="671"/>
      <c r="O99" s="671"/>
      <c r="P99" s="671"/>
      <c r="Q99" s="671"/>
      <c r="R99" s="671"/>
      <c r="S99" s="671"/>
      <c r="T99" s="671"/>
      <c r="U99" s="671"/>
      <c r="V99" s="671"/>
      <c r="W99" s="671"/>
      <c r="X99" s="671"/>
    </row>
    <row r="100" spans="8:24" x14ac:dyDescent="0.35">
      <c r="H100" s="671"/>
      <c r="I100" s="671"/>
      <c r="J100" s="671"/>
      <c r="K100" s="671"/>
      <c r="L100" s="671"/>
      <c r="M100" s="671"/>
      <c r="N100" s="671"/>
      <c r="O100" s="671"/>
      <c r="P100" s="671"/>
      <c r="Q100" s="671"/>
      <c r="R100" s="671"/>
      <c r="S100" s="671"/>
      <c r="T100" s="671"/>
      <c r="U100" s="671"/>
      <c r="V100" s="671"/>
      <c r="W100" s="671"/>
      <c r="X100" s="671"/>
    </row>
    <row r="101" spans="8:24" x14ac:dyDescent="0.35">
      <c r="H101" s="671"/>
      <c r="I101" s="671"/>
      <c r="J101" s="671"/>
      <c r="K101" s="671"/>
      <c r="L101" s="671"/>
      <c r="M101" s="671"/>
      <c r="N101" s="671"/>
      <c r="O101" s="671"/>
      <c r="P101" s="671"/>
      <c r="Q101" s="671"/>
      <c r="R101" s="671"/>
      <c r="S101" s="671"/>
      <c r="T101" s="671"/>
      <c r="U101" s="671"/>
      <c r="V101" s="671"/>
      <c r="W101" s="671"/>
      <c r="X101" s="671"/>
    </row>
    <row r="102" spans="8:24" x14ac:dyDescent="0.35">
      <c r="H102" s="671"/>
      <c r="I102" s="671"/>
      <c r="J102" s="671"/>
      <c r="K102" s="671"/>
      <c r="L102" s="671"/>
      <c r="M102" s="671"/>
      <c r="N102" s="671"/>
      <c r="O102" s="671"/>
      <c r="P102" s="671"/>
      <c r="Q102" s="671"/>
      <c r="R102" s="671"/>
      <c r="S102" s="671"/>
      <c r="T102" s="671"/>
      <c r="U102" s="671"/>
      <c r="V102" s="671"/>
      <c r="W102" s="671"/>
      <c r="X102" s="671"/>
    </row>
    <row r="103" spans="8:24" x14ac:dyDescent="0.35">
      <c r="H103" s="671"/>
      <c r="I103" s="671"/>
      <c r="J103" s="671"/>
      <c r="K103" s="671"/>
      <c r="L103" s="671"/>
      <c r="M103" s="671"/>
      <c r="N103" s="671"/>
      <c r="O103" s="671"/>
      <c r="P103" s="671"/>
      <c r="Q103" s="671"/>
      <c r="R103" s="671"/>
      <c r="S103" s="671"/>
      <c r="T103" s="671"/>
      <c r="U103" s="671"/>
      <c r="V103" s="671"/>
      <c r="W103" s="671"/>
      <c r="X103" s="671"/>
    </row>
    <row r="104" spans="8:24" x14ac:dyDescent="0.35">
      <c r="H104" s="671"/>
      <c r="I104" s="671"/>
      <c r="J104" s="671"/>
      <c r="K104" s="671"/>
      <c r="L104" s="671"/>
      <c r="M104" s="671"/>
      <c r="N104" s="671"/>
      <c r="O104" s="671"/>
      <c r="P104" s="671"/>
      <c r="Q104" s="671"/>
      <c r="R104" s="671"/>
      <c r="S104" s="671"/>
      <c r="T104" s="671"/>
      <c r="U104" s="671"/>
      <c r="V104" s="671"/>
      <c r="W104" s="671"/>
      <c r="X104" s="671"/>
    </row>
    <row r="105" spans="8:24" x14ac:dyDescent="0.35">
      <c r="H105" s="671"/>
      <c r="I105" s="671"/>
      <c r="J105" s="671"/>
      <c r="K105" s="671"/>
      <c r="L105" s="671"/>
      <c r="M105" s="671"/>
      <c r="N105" s="671"/>
      <c r="O105" s="671"/>
      <c r="P105" s="671"/>
      <c r="Q105" s="671"/>
      <c r="R105" s="671"/>
      <c r="S105" s="671"/>
      <c r="T105" s="671"/>
      <c r="U105" s="671"/>
      <c r="V105" s="671"/>
      <c r="W105" s="671"/>
      <c r="X105" s="671"/>
    </row>
    <row r="106" spans="8:24" x14ac:dyDescent="0.35">
      <c r="H106" s="671"/>
      <c r="I106" s="671"/>
      <c r="J106" s="671"/>
      <c r="K106" s="671"/>
      <c r="L106" s="671"/>
      <c r="M106" s="671"/>
      <c r="N106" s="671"/>
      <c r="O106" s="671"/>
      <c r="P106" s="671"/>
      <c r="Q106" s="671"/>
      <c r="R106" s="671"/>
      <c r="S106" s="671"/>
      <c r="T106" s="671"/>
      <c r="U106" s="671"/>
      <c r="V106" s="671"/>
      <c r="W106" s="671"/>
      <c r="X106" s="671"/>
    </row>
    <row r="107" spans="8:24" x14ac:dyDescent="0.35">
      <c r="H107" s="671"/>
      <c r="I107" s="671"/>
      <c r="J107" s="671"/>
      <c r="K107" s="671"/>
      <c r="L107" s="671"/>
      <c r="M107" s="671"/>
      <c r="N107" s="671"/>
      <c r="O107" s="671"/>
      <c r="P107" s="671"/>
      <c r="Q107" s="671"/>
      <c r="R107" s="671"/>
      <c r="S107" s="671"/>
      <c r="T107" s="671"/>
      <c r="U107" s="671"/>
      <c r="V107" s="671"/>
      <c r="W107" s="671"/>
      <c r="X107" s="671"/>
    </row>
    <row r="108" spans="8:24" x14ac:dyDescent="0.35">
      <c r="H108" s="671"/>
      <c r="I108" s="671"/>
      <c r="J108" s="671"/>
      <c r="K108" s="671"/>
      <c r="L108" s="671"/>
      <c r="M108" s="671"/>
      <c r="N108" s="671"/>
      <c r="O108" s="671"/>
      <c r="P108" s="671"/>
      <c r="Q108" s="671"/>
      <c r="R108" s="671"/>
      <c r="S108" s="671"/>
      <c r="T108" s="671"/>
      <c r="U108" s="671"/>
      <c r="V108" s="671"/>
      <c r="W108" s="671"/>
      <c r="X108" s="671"/>
    </row>
    <row r="109" spans="8:24" x14ac:dyDescent="0.35">
      <c r="H109" s="671"/>
      <c r="I109" s="671"/>
      <c r="J109" s="671"/>
      <c r="K109" s="671"/>
      <c r="L109" s="671"/>
      <c r="M109" s="671"/>
      <c r="N109" s="671"/>
      <c r="O109" s="671"/>
      <c r="P109" s="671"/>
      <c r="Q109" s="671"/>
      <c r="R109" s="671"/>
      <c r="S109" s="671"/>
      <c r="T109" s="671"/>
      <c r="U109" s="671"/>
      <c r="V109" s="671"/>
      <c r="W109" s="671"/>
      <c r="X109" s="671"/>
    </row>
    <row r="110" spans="8:24" x14ac:dyDescent="0.35">
      <c r="H110" s="671"/>
      <c r="I110" s="671"/>
      <c r="J110" s="671"/>
      <c r="K110" s="671"/>
      <c r="L110" s="671"/>
      <c r="M110" s="671"/>
      <c r="N110" s="671"/>
      <c r="O110" s="671"/>
      <c r="P110" s="671"/>
      <c r="Q110" s="671"/>
      <c r="R110" s="671"/>
      <c r="S110" s="671"/>
      <c r="T110" s="671"/>
      <c r="U110" s="671"/>
      <c r="V110" s="671"/>
      <c r="W110" s="671"/>
      <c r="X110" s="671"/>
    </row>
    <row r="111" spans="8:24" x14ac:dyDescent="0.35">
      <c r="H111" s="671"/>
      <c r="I111" s="671"/>
      <c r="J111" s="671"/>
      <c r="K111" s="671"/>
      <c r="L111" s="671"/>
      <c r="M111" s="671"/>
      <c r="N111" s="671"/>
      <c r="O111" s="671"/>
      <c r="P111" s="671"/>
      <c r="Q111" s="671"/>
      <c r="R111" s="671"/>
      <c r="S111" s="671"/>
      <c r="T111" s="671"/>
      <c r="U111" s="671"/>
      <c r="V111" s="671"/>
      <c r="W111" s="671"/>
      <c r="X111" s="671"/>
    </row>
    <row r="112" spans="8:24" x14ac:dyDescent="0.35">
      <c r="H112" s="671"/>
      <c r="I112" s="671"/>
      <c r="J112" s="671"/>
      <c r="K112" s="671"/>
      <c r="L112" s="671"/>
      <c r="M112" s="671"/>
      <c r="N112" s="671"/>
      <c r="O112" s="671"/>
      <c r="P112" s="671"/>
      <c r="Q112" s="671"/>
      <c r="R112" s="671"/>
      <c r="S112" s="671"/>
      <c r="T112" s="671"/>
      <c r="U112" s="671"/>
      <c r="V112" s="671"/>
      <c r="W112" s="671"/>
      <c r="X112" s="671"/>
    </row>
    <row r="113" spans="8:24" x14ac:dyDescent="0.35">
      <c r="H113" s="671"/>
      <c r="I113" s="671"/>
      <c r="J113" s="671"/>
      <c r="K113" s="671"/>
      <c r="L113" s="671"/>
      <c r="M113" s="671"/>
      <c r="N113" s="671"/>
      <c r="O113" s="671"/>
      <c r="P113" s="671"/>
      <c r="Q113" s="671"/>
      <c r="R113" s="671"/>
      <c r="S113" s="671"/>
      <c r="T113" s="671"/>
      <c r="U113" s="671"/>
      <c r="V113" s="671"/>
      <c r="W113" s="671"/>
      <c r="X113" s="671"/>
    </row>
    <row r="114" spans="8:24" x14ac:dyDescent="0.35">
      <c r="H114" s="671"/>
      <c r="I114" s="671"/>
      <c r="J114" s="671"/>
      <c r="K114" s="671"/>
      <c r="L114" s="671"/>
      <c r="M114" s="671"/>
      <c r="N114" s="671"/>
      <c r="O114" s="671"/>
      <c r="P114" s="671"/>
      <c r="Q114" s="671"/>
      <c r="R114" s="671"/>
      <c r="S114" s="671"/>
      <c r="T114" s="671"/>
      <c r="U114" s="671"/>
      <c r="V114" s="671"/>
      <c r="W114" s="671"/>
      <c r="X114" s="671"/>
    </row>
    <row r="115" spans="8:24" x14ac:dyDescent="0.35">
      <c r="H115" s="671"/>
      <c r="I115" s="671"/>
      <c r="J115" s="671"/>
      <c r="K115" s="671"/>
      <c r="L115" s="671"/>
      <c r="M115" s="671"/>
      <c r="N115" s="671"/>
      <c r="O115" s="671"/>
      <c r="P115" s="671"/>
      <c r="Q115" s="671"/>
      <c r="R115" s="671"/>
      <c r="S115" s="671"/>
      <c r="T115" s="671"/>
      <c r="U115" s="671"/>
      <c r="V115" s="671"/>
      <c r="W115" s="671"/>
      <c r="X115" s="671"/>
    </row>
    <row r="116" spans="8:24" x14ac:dyDescent="0.35">
      <c r="H116" s="671"/>
      <c r="I116" s="671"/>
      <c r="J116" s="671"/>
      <c r="K116" s="671"/>
      <c r="L116" s="671"/>
      <c r="M116" s="671"/>
      <c r="N116" s="671"/>
      <c r="O116" s="671"/>
      <c r="P116" s="671"/>
      <c r="Q116" s="671"/>
      <c r="R116" s="671"/>
      <c r="S116" s="671"/>
      <c r="T116" s="671"/>
      <c r="U116" s="671"/>
      <c r="V116" s="671"/>
      <c r="W116" s="671"/>
      <c r="X116" s="671"/>
    </row>
    <row r="117" spans="8:24" x14ac:dyDescent="0.35">
      <c r="H117" s="671"/>
      <c r="I117" s="671"/>
      <c r="J117" s="671"/>
      <c r="K117" s="671"/>
      <c r="L117" s="671"/>
      <c r="M117" s="671"/>
      <c r="N117" s="671"/>
      <c r="O117" s="671"/>
      <c r="P117" s="671"/>
      <c r="Q117" s="671"/>
      <c r="R117" s="671"/>
      <c r="S117" s="671"/>
      <c r="T117" s="671"/>
      <c r="U117" s="671"/>
      <c r="V117" s="671"/>
      <c r="W117" s="671"/>
      <c r="X117" s="671"/>
    </row>
    <row r="118" spans="8:24" x14ac:dyDescent="0.35">
      <c r="H118" s="671"/>
      <c r="I118" s="671"/>
      <c r="J118" s="671"/>
      <c r="K118" s="671"/>
      <c r="L118" s="671"/>
      <c r="M118" s="671"/>
      <c r="N118" s="671"/>
      <c r="O118" s="671"/>
      <c r="P118" s="671"/>
      <c r="Q118" s="671"/>
      <c r="R118" s="671"/>
      <c r="S118" s="671"/>
      <c r="T118" s="671"/>
      <c r="U118" s="671"/>
      <c r="V118" s="671"/>
      <c r="W118" s="671"/>
      <c r="X118" s="671"/>
    </row>
    <row r="119" spans="8:24" x14ac:dyDescent="0.35">
      <c r="H119" s="671"/>
      <c r="I119" s="671"/>
      <c r="J119" s="671"/>
      <c r="K119" s="671"/>
      <c r="L119" s="671"/>
      <c r="M119" s="671"/>
      <c r="N119" s="671"/>
      <c r="O119" s="671"/>
      <c r="P119" s="671"/>
      <c r="Q119" s="671"/>
      <c r="R119" s="671"/>
      <c r="S119" s="671"/>
      <c r="T119" s="671"/>
      <c r="U119" s="671"/>
      <c r="V119" s="671"/>
      <c r="W119" s="671"/>
      <c r="X119" s="671"/>
    </row>
    <row r="120" spans="8:24" x14ac:dyDescent="0.35">
      <c r="H120" s="671"/>
      <c r="I120" s="671"/>
      <c r="J120" s="671"/>
      <c r="K120" s="671"/>
      <c r="L120" s="671"/>
      <c r="M120" s="671"/>
      <c r="N120" s="671"/>
      <c r="O120" s="671"/>
      <c r="P120" s="671"/>
      <c r="Q120" s="671"/>
      <c r="R120" s="671"/>
      <c r="S120" s="671"/>
      <c r="T120" s="671"/>
      <c r="U120" s="671"/>
      <c r="V120" s="671"/>
      <c r="W120" s="671"/>
      <c r="X120" s="671"/>
    </row>
    <row r="121" spans="8:24" x14ac:dyDescent="0.35">
      <c r="H121" s="671"/>
      <c r="I121" s="671"/>
      <c r="J121" s="671"/>
      <c r="K121" s="671"/>
      <c r="L121" s="671"/>
      <c r="M121" s="671"/>
      <c r="N121" s="671"/>
      <c r="O121" s="671"/>
      <c r="P121" s="671"/>
      <c r="Q121" s="671"/>
      <c r="R121" s="671"/>
      <c r="S121" s="671"/>
      <c r="T121" s="671"/>
      <c r="U121" s="671"/>
      <c r="V121" s="671"/>
      <c r="W121" s="671"/>
      <c r="X121" s="671"/>
    </row>
    <row r="122" spans="8:24" x14ac:dyDescent="0.35">
      <c r="H122" s="671"/>
      <c r="I122" s="671"/>
      <c r="J122" s="671"/>
      <c r="K122" s="671"/>
      <c r="L122" s="671"/>
      <c r="M122" s="671"/>
      <c r="N122" s="671"/>
      <c r="O122" s="671"/>
      <c r="P122" s="671"/>
      <c r="Q122" s="671"/>
      <c r="R122" s="671"/>
      <c r="S122" s="671"/>
      <c r="T122" s="671"/>
      <c r="U122" s="671"/>
      <c r="V122" s="671"/>
      <c r="W122" s="671"/>
      <c r="X122" s="671"/>
    </row>
    <row r="123" spans="8:24" x14ac:dyDescent="0.35">
      <c r="H123" s="671"/>
      <c r="I123" s="671"/>
      <c r="J123" s="671"/>
      <c r="K123" s="671"/>
      <c r="L123" s="671"/>
      <c r="M123" s="671"/>
      <c r="N123" s="671"/>
      <c r="O123" s="671"/>
      <c r="P123" s="671"/>
      <c r="Q123" s="671"/>
      <c r="R123" s="671"/>
      <c r="S123" s="671"/>
      <c r="T123" s="671"/>
      <c r="U123" s="671"/>
      <c r="V123" s="671"/>
      <c r="W123" s="671"/>
      <c r="X123" s="671"/>
    </row>
    <row r="124" spans="8:24" x14ac:dyDescent="0.35">
      <c r="H124" s="671"/>
      <c r="I124" s="671"/>
      <c r="J124" s="671"/>
      <c r="K124" s="671"/>
      <c r="L124" s="671"/>
      <c r="M124" s="671"/>
      <c r="N124" s="671"/>
      <c r="O124" s="671"/>
      <c r="P124" s="671"/>
      <c r="Q124" s="671"/>
      <c r="R124" s="671"/>
      <c r="S124" s="671"/>
      <c r="T124" s="671"/>
      <c r="U124" s="671"/>
      <c r="V124" s="671"/>
      <c r="W124" s="671"/>
      <c r="X124" s="671"/>
    </row>
    <row r="125" spans="8:24" x14ac:dyDescent="0.35">
      <c r="H125" s="671"/>
      <c r="I125" s="671"/>
      <c r="J125" s="671"/>
      <c r="K125" s="671"/>
      <c r="L125" s="671"/>
      <c r="M125" s="671"/>
      <c r="N125" s="671"/>
      <c r="O125" s="671"/>
      <c r="P125" s="671"/>
      <c r="Q125" s="671"/>
      <c r="R125" s="671"/>
      <c r="S125" s="671"/>
      <c r="T125" s="671"/>
      <c r="U125" s="671"/>
      <c r="V125" s="671"/>
      <c r="W125" s="671"/>
      <c r="X125" s="671"/>
    </row>
    <row r="126" spans="8:24" x14ac:dyDescent="0.35">
      <c r="H126" s="671"/>
      <c r="I126" s="671"/>
      <c r="J126" s="671"/>
      <c r="K126" s="671"/>
      <c r="L126" s="671"/>
      <c r="M126" s="671"/>
      <c r="N126" s="671"/>
      <c r="O126" s="671"/>
      <c r="P126" s="671"/>
      <c r="Q126" s="671"/>
      <c r="R126" s="671"/>
      <c r="S126" s="671"/>
      <c r="T126" s="671"/>
      <c r="U126" s="671"/>
      <c r="V126" s="671"/>
      <c r="W126" s="671"/>
      <c r="X126" s="671"/>
    </row>
    <row r="127" spans="8:24" x14ac:dyDescent="0.35">
      <c r="H127" s="671"/>
      <c r="I127" s="671"/>
      <c r="J127" s="671"/>
      <c r="K127" s="671"/>
      <c r="L127" s="671"/>
      <c r="M127" s="671"/>
      <c r="N127" s="671"/>
      <c r="O127" s="671"/>
      <c r="P127" s="671"/>
      <c r="Q127" s="671"/>
      <c r="R127" s="671"/>
      <c r="S127" s="671"/>
      <c r="T127" s="671"/>
      <c r="U127" s="671"/>
      <c r="V127" s="671"/>
      <c r="W127" s="671"/>
      <c r="X127" s="671"/>
    </row>
    <row r="128" spans="8:24" x14ac:dyDescent="0.35">
      <c r="H128" s="671"/>
      <c r="I128" s="671"/>
      <c r="J128" s="671"/>
      <c r="K128" s="671"/>
      <c r="L128" s="671"/>
      <c r="M128" s="671"/>
      <c r="N128" s="671"/>
      <c r="O128" s="671"/>
      <c r="P128" s="671"/>
      <c r="Q128" s="671"/>
      <c r="R128" s="671"/>
      <c r="S128" s="671"/>
      <c r="T128" s="671"/>
      <c r="U128" s="671"/>
      <c r="V128" s="671"/>
      <c r="W128" s="671"/>
      <c r="X128" s="671"/>
    </row>
    <row r="129" spans="8:24" x14ac:dyDescent="0.35">
      <c r="H129" s="671"/>
      <c r="I129" s="671"/>
      <c r="J129" s="671"/>
      <c r="K129" s="671"/>
      <c r="L129" s="671"/>
      <c r="M129" s="671"/>
      <c r="N129" s="671"/>
      <c r="O129" s="671"/>
      <c r="P129" s="671"/>
      <c r="Q129" s="671"/>
      <c r="R129" s="671"/>
      <c r="S129" s="671"/>
      <c r="T129" s="671"/>
      <c r="U129" s="671"/>
      <c r="V129" s="671"/>
      <c r="W129" s="671"/>
      <c r="X129" s="671"/>
    </row>
    <row r="130" spans="8:24" x14ac:dyDescent="0.35">
      <c r="H130" s="671"/>
      <c r="I130" s="671"/>
      <c r="J130" s="671"/>
      <c r="K130" s="671"/>
      <c r="L130" s="671"/>
      <c r="M130" s="671"/>
      <c r="N130" s="671"/>
      <c r="O130" s="671"/>
      <c r="P130" s="671"/>
      <c r="Q130" s="671"/>
      <c r="R130" s="671"/>
      <c r="S130" s="671"/>
      <c r="T130" s="671"/>
      <c r="U130" s="671"/>
      <c r="V130" s="671"/>
      <c r="W130" s="671"/>
      <c r="X130" s="671"/>
    </row>
    <row r="131" spans="8:24" x14ac:dyDescent="0.35">
      <c r="H131" s="671"/>
      <c r="I131" s="671"/>
      <c r="J131" s="671"/>
      <c r="K131" s="671"/>
      <c r="L131" s="671"/>
      <c r="M131" s="671"/>
      <c r="N131" s="671"/>
      <c r="O131" s="671"/>
      <c r="P131" s="671"/>
      <c r="Q131" s="671"/>
      <c r="R131" s="671"/>
      <c r="S131" s="671"/>
      <c r="T131" s="671"/>
      <c r="U131" s="671"/>
      <c r="V131" s="671"/>
      <c r="W131" s="671"/>
      <c r="X131" s="671"/>
    </row>
    <row r="132" spans="8:24" x14ac:dyDescent="0.35">
      <c r="H132" s="671"/>
      <c r="I132" s="671"/>
      <c r="J132" s="671"/>
      <c r="K132" s="671"/>
      <c r="L132" s="671"/>
      <c r="M132" s="671"/>
      <c r="N132" s="671"/>
      <c r="O132" s="671"/>
      <c r="P132" s="671"/>
      <c r="Q132" s="671"/>
      <c r="R132" s="671"/>
      <c r="S132" s="671"/>
      <c r="T132" s="671"/>
      <c r="U132" s="671"/>
      <c r="V132" s="671"/>
      <c r="W132" s="671"/>
      <c r="X132" s="671"/>
    </row>
    <row r="133" spans="8:24" x14ac:dyDescent="0.35">
      <c r="H133" s="671"/>
      <c r="I133" s="671"/>
      <c r="J133" s="671"/>
      <c r="K133" s="671"/>
      <c r="L133" s="671"/>
      <c r="M133" s="671"/>
      <c r="N133" s="671"/>
      <c r="O133" s="671"/>
      <c r="P133" s="671"/>
      <c r="Q133" s="671"/>
      <c r="R133" s="671"/>
      <c r="S133" s="671"/>
      <c r="T133" s="671"/>
      <c r="U133" s="671"/>
      <c r="V133" s="671"/>
      <c r="W133" s="671"/>
      <c r="X133" s="671"/>
    </row>
    <row r="134" spans="8:24" x14ac:dyDescent="0.35">
      <c r="H134" s="671"/>
      <c r="I134" s="671"/>
      <c r="J134" s="671"/>
      <c r="K134" s="671"/>
      <c r="L134" s="671"/>
      <c r="M134" s="671"/>
      <c r="N134" s="671"/>
      <c r="O134" s="671"/>
      <c r="P134" s="671"/>
      <c r="Q134" s="671"/>
      <c r="R134" s="671"/>
      <c r="S134" s="671"/>
      <c r="T134" s="671"/>
      <c r="U134" s="671"/>
      <c r="V134" s="671"/>
      <c r="W134" s="671"/>
      <c r="X134" s="671"/>
    </row>
    <row r="135" spans="8:24" x14ac:dyDescent="0.35">
      <c r="H135" s="671"/>
      <c r="I135" s="671"/>
      <c r="J135" s="671"/>
      <c r="K135" s="671"/>
      <c r="L135" s="671"/>
      <c r="M135" s="671"/>
      <c r="N135" s="671"/>
      <c r="O135" s="671"/>
      <c r="P135" s="671"/>
      <c r="Q135" s="671"/>
      <c r="R135" s="671"/>
      <c r="S135" s="671"/>
      <c r="T135" s="671"/>
      <c r="U135" s="671"/>
      <c r="V135" s="671"/>
      <c r="W135" s="671"/>
      <c r="X135" s="671"/>
    </row>
    <row r="136" spans="8:24" x14ac:dyDescent="0.35">
      <c r="H136" s="671"/>
      <c r="I136" s="671"/>
      <c r="J136" s="671"/>
      <c r="K136" s="671"/>
      <c r="L136" s="671"/>
      <c r="M136" s="671"/>
      <c r="N136" s="671"/>
      <c r="O136" s="671"/>
      <c r="P136" s="671"/>
      <c r="Q136" s="671"/>
      <c r="R136" s="671"/>
      <c r="S136" s="671"/>
      <c r="T136" s="671"/>
      <c r="U136" s="671"/>
      <c r="V136" s="671"/>
      <c r="W136" s="671"/>
      <c r="X136" s="671"/>
    </row>
    <row r="137" spans="8:24" x14ac:dyDescent="0.35">
      <c r="H137" s="671"/>
      <c r="I137" s="671"/>
      <c r="J137" s="671"/>
      <c r="K137" s="671"/>
      <c r="L137" s="671"/>
      <c r="M137" s="671"/>
      <c r="N137" s="671"/>
      <c r="O137" s="671"/>
      <c r="P137" s="671"/>
      <c r="Q137" s="671"/>
      <c r="R137" s="671"/>
      <c r="S137" s="671"/>
      <c r="T137" s="671"/>
      <c r="U137" s="671"/>
      <c r="V137" s="671"/>
      <c r="W137" s="671"/>
      <c r="X137" s="671"/>
    </row>
    <row r="138" spans="8:24" x14ac:dyDescent="0.35">
      <c r="H138" s="671"/>
      <c r="I138" s="671"/>
      <c r="J138" s="671"/>
      <c r="K138" s="671"/>
      <c r="L138" s="671"/>
      <c r="M138" s="671"/>
      <c r="N138" s="671"/>
      <c r="O138" s="671"/>
      <c r="P138" s="671"/>
      <c r="Q138" s="671"/>
      <c r="R138" s="671"/>
      <c r="S138" s="671"/>
      <c r="T138" s="671"/>
      <c r="U138" s="671"/>
      <c r="V138" s="671"/>
      <c r="W138" s="671"/>
      <c r="X138" s="671"/>
    </row>
    <row r="139" spans="8:24" x14ac:dyDescent="0.35">
      <c r="H139" s="671"/>
      <c r="I139" s="671"/>
      <c r="J139" s="671"/>
      <c r="K139" s="671"/>
      <c r="L139" s="671"/>
      <c r="M139" s="671"/>
      <c r="N139" s="671"/>
      <c r="O139" s="671"/>
      <c r="P139" s="671"/>
      <c r="Q139" s="671"/>
      <c r="R139" s="671"/>
      <c r="S139" s="671"/>
      <c r="T139" s="671"/>
      <c r="U139" s="671"/>
      <c r="V139" s="671"/>
      <c r="W139" s="671"/>
      <c r="X139" s="671"/>
    </row>
    <row r="140" spans="8:24" x14ac:dyDescent="0.35">
      <c r="H140" s="671"/>
      <c r="I140" s="671"/>
      <c r="J140" s="671"/>
      <c r="K140" s="671"/>
      <c r="L140" s="671"/>
      <c r="M140" s="671"/>
      <c r="N140" s="671"/>
      <c r="O140" s="671"/>
      <c r="P140" s="671"/>
      <c r="Q140" s="671"/>
      <c r="R140" s="671"/>
      <c r="S140" s="671"/>
      <c r="T140" s="671"/>
      <c r="U140" s="671"/>
      <c r="V140" s="671"/>
      <c r="W140" s="671"/>
      <c r="X140" s="671"/>
    </row>
    <row r="141" spans="8:24" x14ac:dyDescent="0.35">
      <c r="H141" s="671"/>
      <c r="I141" s="671"/>
      <c r="J141" s="671"/>
      <c r="K141" s="671"/>
      <c r="L141" s="671"/>
      <c r="M141" s="671"/>
      <c r="N141" s="671"/>
      <c r="O141" s="671"/>
      <c r="P141" s="671"/>
      <c r="Q141" s="671"/>
      <c r="R141" s="671"/>
      <c r="S141" s="671"/>
      <c r="T141" s="671"/>
      <c r="U141" s="671"/>
      <c r="V141" s="671"/>
      <c r="W141" s="671"/>
      <c r="X141" s="671"/>
    </row>
    <row r="142" spans="8:24" x14ac:dyDescent="0.35">
      <c r="H142" s="671"/>
      <c r="I142" s="671"/>
      <c r="J142" s="671"/>
      <c r="K142" s="671"/>
      <c r="L142" s="671"/>
      <c r="M142" s="671"/>
      <c r="N142" s="671"/>
      <c r="O142" s="671"/>
      <c r="P142" s="671"/>
      <c r="Q142" s="671"/>
      <c r="R142" s="671"/>
      <c r="S142" s="671"/>
      <c r="T142" s="671"/>
      <c r="U142" s="671"/>
      <c r="V142" s="671"/>
      <c r="W142" s="671"/>
      <c r="X142" s="671"/>
    </row>
    <row r="143" spans="8:24" x14ac:dyDescent="0.35">
      <c r="H143" s="671"/>
      <c r="I143" s="671"/>
      <c r="J143" s="671"/>
      <c r="K143" s="671"/>
      <c r="L143" s="671"/>
      <c r="M143" s="671"/>
      <c r="N143" s="671"/>
      <c r="O143" s="671"/>
      <c r="P143" s="671"/>
      <c r="Q143" s="671"/>
      <c r="R143" s="671"/>
      <c r="S143" s="671"/>
      <c r="T143" s="671"/>
      <c r="U143" s="671"/>
      <c r="V143" s="671"/>
      <c r="W143" s="671"/>
      <c r="X143" s="671"/>
    </row>
    <row r="144" spans="8:24" x14ac:dyDescent="0.35">
      <c r="H144" s="671"/>
      <c r="I144" s="671"/>
      <c r="J144" s="671"/>
      <c r="K144" s="671"/>
      <c r="L144" s="671"/>
      <c r="M144" s="671"/>
      <c r="N144" s="671"/>
      <c r="O144" s="671"/>
      <c r="P144" s="671"/>
      <c r="Q144" s="671"/>
      <c r="R144" s="671"/>
      <c r="S144" s="671"/>
      <c r="T144" s="671"/>
      <c r="U144" s="671"/>
      <c r="V144" s="671"/>
      <c r="W144" s="671"/>
      <c r="X144" s="671"/>
    </row>
    <row r="145" spans="8:24" x14ac:dyDescent="0.35">
      <c r="H145" s="671"/>
      <c r="I145" s="671"/>
      <c r="J145" s="671"/>
      <c r="K145" s="671"/>
      <c r="L145" s="671"/>
      <c r="M145" s="671"/>
      <c r="N145" s="671"/>
      <c r="O145" s="671"/>
      <c r="P145" s="671"/>
      <c r="Q145" s="671"/>
      <c r="R145" s="671"/>
      <c r="S145" s="671"/>
      <c r="T145" s="671"/>
      <c r="U145" s="671"/>
      <c r="V145" s="671"/>
      <c r="W145" s="671"/>
      <c r="X145" s="671"/>
    </row>
    <row r="146" spans="8:24" x14ac:dyDescent="0.35">
      <c r="H146" s="671"/>
      <c r="I146" s="671"/>
      <c r="J146" s="671"/>
      <c r="K146" s="671"/>
      <c r="L146" s="671"/>
      <c r="M146" s="671"/>
      <c r="N146" s="671"/>
      <c r="O146" s="671"/>
      <c r="P146" s="671"/>
      <c r="Q146" s="671"/>
      <c r="R146" s="671"/>
      <c r="S146" s="671"/>
      <c r="T146" s="671"/>
      <c r="U146" s="671"/>
      <c r="V146" s="671"/>
      <c r="W146" s="671"/>
      <c r="X146" s="671"/>
    </row>
    <row r="147" spans="8:24" x14ac:dyDescent="0.35">
      <c r="H147" s="671"/>
      <c r="I147" s="671"/>
      <c r="J147" s="671"/>
      <c r="K147" s="671"/>
      <c r="L147" s="671"/>
      <c r="M147" s="671"/>
      <c r="N147" s="671"/>
      <c r="O147" s="671"/>
      <c r="P147" s="671"/>
      <c r="Q147" s="671"/>
      <c r="R147" s="671"/>
      <c r="S147" s="671"/>
      <c r="T147" s="671"/>
      <c r="U147" s="671"/>
      <c r="V147" s="671"/>
      <c r="W147" s="671"/>
      <c r="X147" s="671"/>
    </row>
    <row r="148" spans="8:24" x14ac:dyDescent="0.35">
      <c r="H148" s="671"/>
      <c r="I148" s="671"/>
      <c r="J148" s="671"/>
      <c r="K148" s="671"/>
      <c r="L148" s="671"/>
      <c r="M148" s="671"/>
      <c r="N148" s="671"/>
      <c r="O148" s="671"/>
      <c r="P148" s="671"/>
      <c r="Q148" s="671"/>
      <c r="R148" s="671"/>
      <c r="S148" s="671"/>
      <c r="T148" s="671"/>
      <c r="U148" s="671"/>
      <c r="V148" s="671"/>
      <c r="W148" s="671"/>
      <c r="X148" s="671"/>
    </row>
    <row r="149" spans="8:24" x14ac:dyDescent="0.35">
      <c r="H149" s="671"/>
      <c r="I149" s="671"/>
      <c r="J149" s="671"/>
      <c r="K149" s="671"/>
      <c r="L149" s="671"/>
      <c r="M149" s="671"/>
      <c r="N149" s="671"/>
      <c r="O149" s="671"/>
      <c r="P149" s="671"/>
      <c r="Q149" s="671"/>
      <c r="R149" s="671"/>
      <c r="S149" s="671"/>
      <c r="T149" s="671"/>
      <c r="U149" s="671"/>
      <c r="V149" s="671"/>
      <c r="W149" s="671"/>
      <c r="X149" s="671"/>
    </row>
    <row r="150" spans="8:24" x14ac:dyDescent="0.35">
      <c r="H150" s="671"/>
      <c r="I150" s="671"/>
      <c r="J150" s="671"/>
      <c r="K150" s="671"/>
      <c r="L150" s="671"/>
      <c r="M150" s="671"/>
      <c r="N150" s="671"/>
      <c r="O150" s="671"/>
      <c r="P150" s="671"/>
      <c r="Q150" s="671"/>
      <c r="R150" s="671"/>
      <c r="S150" s="671"/>
      <c r="T150" s="671"/>
      <c r="U150" s="671"/>
      <c r="V150" s="671"/>
      <c r="W150" s="671"/>
      <c r="X150" s="671"/>
    </row>
    <row r="151" spans="8:24" x14ac:dyDescent="0.35">
      <c r="H151" s="671"/>
      <c r="I151" s="671"/>
      <c r="J151" s="671"/>
      <c r="K151" s="671"/>
      <c r="L151" s="671"/>
      <c r="M151" s="671"/>
      <c r="N151" s="671"/>
      <c r="O151" s="671"/>
      <c r="P151" s="671"/>
      <c r="Q151" s="671"/>
      <c r="R151" s="671"/>
      <c r="S151" s="671"/>
      <c r="T151" s="671"/>
      <c r="U151" s="671"/>
      <c r="V151" s="671"/>
      <c r="W151" s="671"/>
      <c r="X151" s="671"/>
    </row>
    <row r="152" spans="8:24" x14ac:dyDescent="0.35">
      <c r="H152" s="671"/>
      <c r="I152" s="671"/>
      <c r="J152" s="671"/>
      <c r="K152" s="671"/>
      <c r="L152" s="671"/>
      <c r="M152" s="671"/>
      <c r="N152" s="671"/>
      <c r="O152" s="671"/>
      <c r="P152" s="671"/>
      <c r="Q152" s="671"/>
      <c r="R152" s="671"/>
      <c r="S152" s="671"/>
      <c r="T152" s="671"/>
      <c r="U152" s="671"/>
      <c r="V152" s="671"/>
      <c r="W152" s="671"/>
      <c r="X152" s="671"/>
    </row>
    <row r="153" spans="8:24" x14ac:dyDescent="0.35">
      <c r="H153" s="671"/>
      <c r="I153" s="671"/>
      <c r="J153" s="671"/>
      <c r="K153" s="671"/>
      <c r="L153" s="671"/>
      <c r="M153" s="671"/>
      <c r="N153" s="671"/>
      <c r="O153" s="671"/>
      <c r="P153" s="671"/>
      <c r="Q153" s="671"/>
      <c r="R153" s="671"/>
      <c r="S153" s="671"/>
      <c r="T153" s="671"/>
      <c r="U153" s="671"/>
      <c r="V153" s="671"/>
      <c r="W153" s="671"/>
      <c r="X153" s="671"/>
    </row>
    <row r="154" spans="8:24" x14ac:dyDescent="0.35">
      <c r="H154" s="671"/>
      <c r="I154" s="671"/>
      <c r="J154" s="671"/>
      <c r="K154" s="671"/>
      <c r="L154" s="671"/>
      <c r="M154" s="671"/>
      <c r="N154" s="671"/>
      <c r="O154" s="671"/>
      <c r="P154" s="671"/>
      <c r="Q154" s="671"/>
      <c r="R154" s="671"/>
      <c r="S154" s="671"/>
      <c r="T154" s="671"/>
      <c r="U154" s="671"/>
      <c r="V154" s="671"/>
      <c r="W154" s="671"/>
      <c r="X154" s="671"/>
    </row>
    <row r="155" spans="8:24" x14ac:dyDescent="0.35">
      <c r="H155" s="671"/>
      <c r="I155" s="671"/>
      <c r="J155" s="671"/>
      <c r="K155" s="671"/>
      <c r="L155" s="671"/>
      <c r="M155" s="671"/>
      <c r="N155" s="671"/>
      <c r="O155" s="671"/>
      <c r="P155" s="671"/>
      <c r="Q155" s="671"/>
      <c r="R155" s="671"/>
      <c r="S155" s="671"/>
      <c r="T155" s="671"/>
      <c r="U155" s="671"/>
      <c r="V155" s="671"/>
      <c r="W155" s="671"/>
      <c r="X155" s="671"/>
    </row>
    <row r="156" spans="8:24" x14ac:dyDescent="0.35">
      <c r="H156" s="671"/>
      <c r="I156" s="671"/>
      <c r="J156" s="671"/>
      <c r="K156" s="671"/>
      <c r="L156" s="671"/>
      <c r="M156" s="671"/>
      <c r="N156" s="671"/>
      <c r="O156" s="671"/>
      <c r="P156" s="671"/>
      <c r="Q156" s="671"/>
      <c r="R156" s="671"/>
      <c r="S156" s="671"/>
      <c r="T156" s="671"/>
      <c r="U156" s="671"/>
      <c r="V156" s="671"/>
      <c r="W156" s="671"/>
      <c r="X156" s="671"/>
    </row>
    <row r="157" spans="8:24" x14ac:dyDescent="0.35">
      <c r="H157" s="671"/>
      <c r="I157" s="671"/>
      <c r="J157" s="671"/>
      <c r="K157" s="671"/>
      <c r="L157" s="671"/>
      <c r="M157" s="671"/>
      <c r="N157" s="671"/>
      <c r="O157" s="671"/>
      <c r="P157" s="671"/>
      <c r="Q157" s="671"/>
      <c r="R157" s="671"/>
      <c r="S157" s="671"/>
      <c r="T157" s="671"/>
      <c r="U157" s="671"/>
      <c r="V157" s="671"/>
      <c r="W157" s="671"/>
      <c r="X157" s="671"/>
    </row>
    <row r="158" spans="8:24" x14ac:dyDescent="0.35">
      <c r="H158" s="671"/>
      <c r="I158" s="671"/>
      <c r="J158" s="671"/>
      <c r="K158" s="671"/>
      <c r="L158" s="671"/>
      <c r="M158" s="671"/>
      <c r="N158" s="671"/>
      <c r="O158" s="671"/>
      <c r="P158" s="671"/>
      <c r="Q158" s="671"/>
      <c r="R158" s="671"/>
      <c r="S158" s="671"/>
      <c r="T158" s="671"/>
      <c r="U158" s="671"/>
      <c r="V158" s="671"/>
      <c r="W158" s="671"/>
      <c r="X158" s="671"/>
    </row>
    <row r="159" spans="8:24" x14ac:dyDescent="0.35">
      <c r="H159" s="671"/>
      <c r="I159" s="671"/>
      <c r="J159" s="671"/>
      <c r="K159" s="671"/>
      <c r="L159" s="671"/>
      <c r="M159" s="671"/>
      <c r="N159" s="671"/>
      <c r="O159" s="671"/>
      <c r="P159" s="671"/>
      <c r="Q159" s="671"/>
      <c r="R159" s="671"/>
      <c r="S159" s="671"/>
      <c r="T159" s="671"/>
      <c r="U159" s="671"/>
      <c r="V159" s="671"/>
      <c r="W159" s="671"/>
      <c r="X159" s="671"/>
    </row>
    <row r="160" spans="8:24" x14ac:dyDescent="0.35">
      <c r="H160" s="671"/>
      <c r="I160" s="671"/>
      <c r="J160" s="671"/>
      <c r="K160" s="671"/>
      <c r="L160" s="671"/>
      <c r="M160" s="671"/>
      <c r="N160" s="671"/>
      <c r="O160" s="671"/>
      <c r="P160" s="671"/>
      <c r="Q160" s="671"/>
      <c r="R160" s="671"/>
      <c r="S160" s="671"/>
      <c r="T160" s="671"/>
      <c r="U160" s="671"/>
      <c r="V160" s="671"/>
      <c r="W160" s="671"/>
      <c r="X160" s="671"/>
    </row>
    <row r="161" spans="8:24" x14ac:dyDescent="0.35">
      <c r="H161" s="671"/>
      <c r="I161" s="671"/>
      <c r="J161" s="671"/>
      <c r="K161" s="671"/>
      <c r="L161" s="671"/>
      <c r="M161" s="671"/>
      <c r="N161" s="671"/>
      <c r="O161" s="671"/>
      <c r="P161" s="671"/>
      <c r="Q161" s="671"/>
      <c r="R161" s="671"/>
      <c r="S161" s="671"/>
      <c r="T161" s="671"/>
      <c r="U161" s="671"/>
      <c r="V161" s="671"/>
      <c r="W161" s="671"/>
      <c r="X161" s="671"/>
    </row>
    <row r="162" spans="8:24" x14ac:dyDescent="0.35">
      <c r="H162" s="671"/>
      <c r="I162" s="671"/>
      <c r="J162" s="671"/>
      <c r="K162" s="671"/>
      <c r="L162" s="671"/>
      <c r="M162" s="671"/>
      <c r="N162" s="671"/>
      <c r="O162" s="671"/>
      <c r="P162" s="671"/>
      <c r="Q162" s="671"/>
      <c r="R162" s="671"/>
      <c r="S162" s="671"/>
      <c r="T162" s="671"/>
      <c r="U162" s="671"/>
      <c r="V162" s="671"/>
      <c r="W162" s="671"/>
      <c r="X162" s="671"/>
    </row>
    <row r="163" spans="8:24" x14ac:dyDescent="0.35">
      <c r="H163" s="671"/>
      <c r="I163" s="671"/>
      <c r="J163" s="671"/>
      <c r="K163" s="671"/>
      <c r="L163" s="671"/>
      <c r="M163" s="671"/>
      <c r="N163" s="671"/>
      <c r="O163" s="671"/>
      <c r="P163" s="671"/>
      <c r="Q163" s="671"/>
      <c r="R163" s="671"/>
      <c r="S163" s="671"/>
      <c r="T163" s="671"/>
      <c r="U163" s="671"/>
      <c r="V163" s="671"/>
      <c r="W163" s="671"/>
      <c r="X163" s="671"/>
    </row>
    <row r="164" spans="8:24" x14ac:dyDescent="0.35">
      <c r="H164" s="671"/>
      <c r="I164" s="671"/>
      <c r="J164" s="671"/>
      <c r="K164" s="671"/>
      <c r="L164" s="671"/>
      <c r="M164" s="671"/>
      <c r="N164" s="671"/>
      <c r="O164" s="671"/>
      <c r="P164" s="671"/>
      <c r="Q164" s="671"/>
      <c r="R164" s="671"/>
      <c r="S164" s="671"/>
      <c r="T164" s="671"/>
      <c r="U164" s="671"/>
      <c r="V164" s="671"/>
      <c r="W164" s="671"/>
      <c r="X164" s="671"/>
    </row>
    <row r="165" spans="8:24" x14ac:dyDescent="0.35">
      <c r="H165" s="671"/>
      <c r="I165" s="671"/>
      <c r="J165" s="671"/>
      <c r="K165" s="671"/>
      <c r="L165" s="671"/>
      <c r="M165" s="671"/>
      <c r="N165" s="671"/>
      <c r="O165" s="671"/>
      <c r="P165" s="671"/>
      <c r="Q165" s="671"/>
      <c r="R165" s="671"/>
      <c r="S165" s="671"/>
      <c r="T165" s="671"/>
      <c r="U165" s="671"/>
      <c r="V165" s="671"/>
      <c r="W165" s="671"/>
      <c r="X165" s="671"/>
    </row>
    <row r="166" spans="8:24" x14ac:dyDescent="0.35">
      <c r="H166" s="671"/>
      <c r="I166" s="671"/>
      <c r="J166" s="671"/>
      <c r="K166" s="671"/>
      <c r="L166" s="671"/>
      <c r="M166" s="671"/>
      <c r="N166" s="671"/>
      <c r="O166" s="671"/>
      <c r="P166" s="671"/>
      <c r="Q166" s="671"/>
      <c r="R166" s="671"/>
      <c r="S166" s="671"/>
      <c r="T166" s="671"/>
      <c r="U166" s="671"/>
      <c r="V166" s="671"/>
      <c r="W166" s="671"/>
      <c r="X166" s="671"/>
    </row>
    <row r="167" spans="8:24" x14ac:dyDescent="0.35">
      <c r="H167" s="671"/>
      <c r="I167" s="671"/>
      <c r="J167" s="671"/>
      <c r="K167" s="671"/>
      <c r="L167" s="671"/>
      <c r="M167" s="671"/>
      <c r="N167" s="671"/>
      <c r="O167" s="671"/>
      <c r="P167" s="671"/>
      <c r="Q167" s="671"/>
      <c r="R167" s="671"/>
      <c r="S167" s="671"/>
      <c r="T167" s="671"/>
      <c r="U167" s="671"/>
      <c r="V167" s="671"/>
      <c r="W167" s="671"/>
      <c r="X167" s="671"/>
    </row>
    <row r="168" spans="8:24" x14ac:dyDescent="0.35">
      <c r="H168" s="671"/>
      <c r="I168" s="671"/>
      <c r="J168" s="671"/>
      <c r="K168" s="671"/>
      <c r="L168" s="671"/>
      <c r="M168" s="671"/>
      <c r="N168" s="671"/>
      <c r="O168" s="671"/>
      <c r="P168" s="671"/>
      <c r="Q168" s="671"/>
      <c r="R168" s="671"/>
      <c r="S168" s="671"/>
      <c r="T168" s="671"/>
      <c r="U168" s="671"/>
      <c r="V168" s="671"/>
      <c r="W168" s="671"/>
      <c r="X168" s="671"/>
    </row>
    <row r="169" spans="8:24" x14ac:dyDescent="0.35">
      <c r="H169" s="671"/>
      <c r="I169" s="671"/>
      <c r="J169" s="671"/>
      <c r="K169" s="671"/>
      <c r="L169" s="671"/>
      <c r="M169" s="671"/>
      <c r="N169" s="671"/>
      <c r="O169" s="671"/>
      <c r="P169" s="671"/>
      <c r="Q169" s="671"/>
      <c r="R169" s="671"/>
      <c r="S169" s="671"/>
      <c r="T169" s="671"/>
      <c r="U169" s="671"/>
      <c r="V169" s="671"/>
      <c r="W169" s="671"/>
      <c r="X169" s="671"/>
    </row>
    <row r="170" spans="8:24" x14ac:dyDescent="0.35">
      <c r="H170" s="671"/>
      <c r="I170" s="671"/>
      <c r="J170" s="671"/>
      <c r="K170" s="671"/>
      <c r="L170" s="671"/>
      <c r="M170" s="671"/>
      <c r="N170" s="671"/>
      <c r="O170" s="671"/>
      <c r="P170" s="671"/>
      <c r="Q170" s="671"/>
      <c r="R170" s="671"/>
      <c r="S170" s="671"/>
      <c r="T170" s="671"/>
      <c r="U170" s="671"/>
      <c r="V170" s="671"/>
      <c r="W170" s="671"/>
      <c r="X170" s="671"/>
    </row>
    <row r="171" spans="8:24" x14ac:dyDescent="0.35">
      <c r="H171" s="671"/>
      <c r="I171" s="671"/>
      <c r="J171" s="671"/>
      <c r="K171" s="671"/>
      <c r="L171" s="671"/>
      <c r="M171" s="671"/>
      <c r="N171" s="671"/>
      <c r="O171" s="671"/>
      <c r="P171" s="671"/>
      <c r="Q171" s="671"/>
      <c r="R171" s="671"/>
      <c r="S171" s="671"/>
      <c r="T171" s="671"/>
      <c r="U171" s="671"/>
      <c r="V171" s="671"/>
      <c r="W171" s="671"/>
      <c r="X171" s="671"/>
    </row>
    <row r="172" spans="8:24" x14ac:dyDescent="0.35">
      <c r="H172" s="671"/>
      <c r="I172" s="671"/>
      <c r="J172" s="671"/>
      <c r="K172" s="671"/>
      <c r="L172" s="671"/>
      <c r="M172" s="671"/>
      <c r="N172" s="671"/>
      <c r="O172" s="671"/>
      <c r="P172" s="671"/>
      <c r="Q172" s="671"/>
      <c r="R172" s="671"/>
      <c r="S172" s="671"/>
      <c r="T172" s="671"/>
      <c r="U172" s="671"/>
      <c r="V172" s="671"/>
      <c r="W172" s="671"/>
      <c r="X172" s="671"/>
    </row>
    <row r="173" spans="8:24" x14ac:dyDescent="0.35">
      <c r="H173" s="671"/>
      <c r="I173" s="671"/>
      <c r="J173" s="671"/>
      <c r="K173" s="671"/>
      <c r="L173" s="671"/>
      <c r="M173" s="671"/>
      <c r="N173" s="671"/>
      <c r="O173" s="671"/>
      <c r="P173" s="671"/>
      <c r="Q173" s="671"/>
      <c r="R173" s="671"/>
      <c r="S173" s="671"/>
      <c r="T173" s="671"/>
      <c r="U173" s="671"/>
      <c r="V173" s="671"/>
      <c r="W173" s="671"/>
      <c r="X173" s="671"/>
    </row>
    <row r="174" spans="8:24" x14ac:dyDescent="0.35">
      <c r="H174" s="671"/>
      <c r="I174" s="671"/>
      <c r="J174" s="671"/>
      <c r="K174" s="671"/>
      <c r="L174" s="671"/>
      <c r="M174" s="671"/>
      <c r="N174" s="671"/>
      <c r="O174" s="671"/>
      <c r="P174" s="671"/>
      <c r="Q174" s="671"/>
      <c r="R174" s="671"/>
      <c r="S174" s="671"/>
      <c r="T174" s="671"/>
      <c r="U174" s="671"/>
      <c r="V174" s="671"/>
      <c r="W174" s="671"/>
      <c r="X174" s="671"/>
    </row>
    <row r="175" spans="8:24" x14ac:dyDescent="0.35">
      <c r="H175" s="671"/>
      <c r="I175" s="671"/>
      <c r="J175" s="671"/>
      <c r="K175" s="671"/>
      <c r="L175" s="671"/>
      <c r="M175" s="671"/>
      <c r="N175" s="671"/>
      <c r="O175" s="671"/>
      <c r="P175" s="671"/>
      <c r="Q175" s="671"/>
      <c r="R175" s="671"/>
      <c r="S175" s="671"/>
      <c r="T175" s="671"/>
      <c r="U175" s="671"/>
      <c r="V175" s="671"/>
      <c r="W175" s="671"/>
      <c r="X175" s="671"/>
    </row>
    <row r="176" spans="8:24" x14ac:dyDescent="0.35">
      <c r="H176" s="671"/>
      <c r="I176" s="671"/>
      <c r="J176" s="671"/>
      <c r="K176" s="671"/>
      <c r="L176" s="671"/>
      <c r="M176" s="671"/>
      <c r="N176" s="671"/>
      <c r="O176" s="671"/>
      <c r="P176" s="671"/>
      <c r="Q176" s="671"/>
      <c r="R176" s="671"/>
      <c r="S176" s="671"/>
      <c r="T176" s="671"/>
      <c r="U176" s="671"/>
      <c r="V176" s="671"/>
      <c r="W176" s="671"/>
      <c r="X176" s="671"/>
    </row>
    <row r="177" spans="8:24" x14ac:dyDescent="0.35">
      <c r="H177" s="671"/>
      <c r="I177" s="671"/>
      <c r="J177" s="671"/>
      <c r="K177" s="671"/>
      <c r="L177" s="671"/>
      <c r="M177" s="671"/>
      <c r="N177" s="671"/>
      <c r="O177" s="671"/>
      <c r="P177" s="671"/>
      <c r="Q177" s="671"/>
      <c r="R177" s="671"/>
      <c r="S177" s="671"/>
      <c r="T177" s="671"/>
      <c r="U177" s="671"/>
      <c r="V177" s="671"/>
      <c r="W177" s="671"/>
      <c r="X177" s="671"/>
    </row>
    <row r="178" spans="8:24" x14ac:dyDescent="0.35">
      <c r="H178" s="671"/>
      <c r="I178" s="671"/>
      <c r="J178" s="671"/>
      <c r="K178" s="671"/>
      <c r="L178" s="671"/>
      <c r="M178" s="671"/>
      <c r="N178" s="671"/>
      <c r="O178" s="671"/>
      <c r="P178" s="671"/>
      <c r="Q178" s="671"/>
      <c r="R178" s="671"/>
      <c r="S178" s="671"/>
      <c r="T178" s="671"/>
      <c r="U178" s="671"/>
      <c r="V178" s="671"/>
      <c r="W178" s="671"/>
      <c r="X178" s="671"/>
    </row>
    <row r="179" spans="8:24" x14ac:dyDescent="0.35">
      <c r="H179" s="671"/>
      <c r="I179" s="671"/>
      <c r="J179" s="671"/>
      <c r="K179" s="671"/>
      <c r="L179" s="671"/>
      <c r="M179" s="671"/>
      <c r="N179" s="671"/>
      <c r="O179" s="671"/>
      <c r="P179" s="671"/>
      <c r="Q179" s="671"/>
      <c r="R179" s="671"/>
      <c r="S179" s="671"/>
      <c r="T179" s="671"/>
      <c r="U179" s="671"/>
      <c r="V179" s="671"/>
      <c r="W179" s="671"/>
      <c r="X179" s="671"/>
    </row>
    <row r="180" spans="8:24" x14ac:dyDescent="0.35">
      <c r="H180" s="671"/>
      <c r="I180" s="671"/>
      <c r="J180" s="671"/>
      <c r="K180" s="671"/>
      <c r="L180" s="671"/>
      <c r="M180" s="671"/>
      <c r="N180" s="671"/>
      <c r="O180" s="671"/>
      <c r="P180" s="671"/>
      <c r="Q180" s="671"/>
      <c r="R180" s="671"/>
      <c r="S180" s="671"/>
      <c r="T180" s="671"/>
      <c r="U180" s="671"/>
      <c r="V180" s="671"/>
      <c r="W180" s="671"/>
      <c r="X180" s="671"/>
    </row>
    <row r="181" spans="8:24" x14ac:dyDescent="0.35">
      <c r="H181" s="671"/>
      <c r="I181" s="671"/>
      <c r="J181" s="671"/>
      <c r="K181" s="671"/>
      <c r="L181" s="671"/>
      <c r="M181" s="671"/>
      <c r="N181" s="671"/>
      <c r="O181" s="671"/>
      <c r="P181" s="671"/>
      <c r="Q181" s="671"/>
      <c r="R181" s="671"/>
      <c r="S181" s="671"/>
      <c r="T181" s="671"/>
      <c r="U181" s="671"/>
      <c r="V181" s="671"/>
      <c r="W181" s="671"/>
      <c r="X181" s="671"/>
    </row>
    <row r="182" spans="8:24" x14ac:dyDescent="0.35">
      <c r="H182" s="671"/>
      <c r="I182" s="671"/>
      <c r="J182" s="671"/>
      <c r="K182" s="671"/>
      <c r="L182" s="671"/>
      <c r="M182" s="671"/>
      <c r="N182" s="671"/>
      <c r="O182" s="671"/>
      <c r="P182" s="671"/>
      <c r="Q182" s="671"/>
      <c r="R182" s="671"/>
      <c r="S182" s="671"/>
      <c r="T182" s="671"/>
      <c r="U182" s="671"/>
      <c r="V182" s="671"/>
      <c r="W182" s="671"/>
      <c r="X182" s="671"/>
    </row>
    <row r="183" spans="8:24" x14ac:dyDescent="0.35">
      <c r="H183" s="671"/>
      <c r="I183" s="671"/>
      <c r="J183" s="671"/>
      <c r="K183" s="671"/>
      <c r="L183" s="671"/>
      <c r="M183" s="671"/>
      <c r="N183" s="671"/>
      <c r="O183" s="671"/>
      <c r="P183" s="671"/>
      <c r="Q183" s="671"/>
      <c r="R183" s="671"/>
      <c r="S183" s="671"/>
      <c r="T183" s="671"/>
      <c r="U183" s="671"/>
      <c r="V183" s="671"/>
      <c r="W183" s="671"/>
      <c r="X183" s="671"/>
    </row>
    <row r="184" spans="8:24" x14ac:dyDescent="0.35">
      <c r="H184" s="671"/>
      <c r="I184" s="671"/>
      <c r="J184" s="671"/>
      <c r="K184" s="671"/>
      <c r="L184" s="671"/>
      <c r="M184" s="671"/>
      <c r="N184" s="671"/>
      <c r="O184" s="671"/>
      <c r="P184" s="671"/>
      <c r="Q184" s="671"/>
      <c r="R184" s="671"/>
      <c r="S184" s="671"/>
      <c r="T184" s="671"/>
      <c r="U184" s="671"/>
      <c r="V184" s="671"/>
      <c r="W184" s="671"/>
      <c r="X184" s="671"/>
    </row>
    <row r="185" spans="8:24" x14ac:dyDescent="0.35">
      <c r="H185" s="671"/>
      <c r="I185" s="671"/>
      <c r="J185" s="671"/>
      <c r="K185" s="671"/>
      <c r="L185" s="671"/>
      <c r="M185" s="671"/>
      <c r="N185" s="671"/>
      <c r="O185" s="671"/>
      <c r="P185" s="671"/>
      <c r="Q185" s="671"/>
      <c r="R185" s="671"/>
      <c r="S185" s="671"/>
      <c r="T185" s="671"/>
      <c r="U185" s="671"/>
      <c r="V185" s="671"/>
      <c r="W185" s="671"/>
      <c r="X185" s="671"/>
    </row>
    <row r="186" spans="8:24" x14ac:dyDescent="0.35">
      <c r="H186" s="671"/>
      <c r="I186" s="671"/>
      <c r="J186" s="671"/>
      <c r="K186" s="671"/>
      <c r="L186" s="671"/>
      <c r="M186" s="671"/>
      <c r="N186" s="671"/>
      <c r="O186" s="671"/>
      <c r="P186" s="671"/>
      <c r="Q186" s="671"/>
      <c r="R186" s="671"/>
      <c r="S186" s="671"/>
      <c r="T186" s="671"/>
      <c r="U186" s="671"/>
      <c r="V186" s="671"/>
      <c r="W186" s="671"/>
      <c r="X186" s="671"/>
    </row>
    <row r="187" spans="8:24" x14ac:dyDescent="0.35">
      <c r="H187" s="671"/>
      <c r="I187" s="671"/>
      <c r="J187" s="671"/>
      <c r="K187" s="671"/>
      <c r="L187" s="671"/>
      <c r="M187" s="671"/>
      <c r="N187" s="671"/>
      <c r="O187" s="671"/>
      <c r="P187" s="671"/>
      <c r="Q187" s="671"/>
      <c r="R187" s="671"/>
      <c r="S187" s="671"/>
      <c r="T187" s="671"/>
      <c r="U187" s="671"/>
      <c r="V187" s="671"/>
      <c r="W187" s="671"/>
      <c r="X187" s="671"/>
    </row>
    <row r="188" spans="8:24" x14ac:dyDescent="0.35">
      <c r="H188" s="671"/>
      <c r="I188" s="671"/>
      <c r="J188" s="671"/>
      <c r="K188" s="671"/>
      <c r="L188" s="671"/>
      <c r="M188" s="671"/>
      <c r="N188" s="671"/>
      <c r="O188" s="671"/>
      <c r="P188" s="671"/>
      <c r="Q188" s="671"/>
      <c r="R188" s="671"/>
      <c r="S188" s="671"/>
      <c r="T188" s="671"/>
      <c r="U188" s="671"/>
      <c r="V188" s="671"/>
      <c r="W188" s="671"/>
      <c r="X188" s="671"/>
    </row>
    <row r="189" spans="8:24" x14ac:dyDescent="0.35">
      <c r="H189" s="671"/>
      <c r="I189" s="671"/>
      <c r="J189" s="671"/>
      <c r="K189" s="671"/>
      <c r="L189" s="671"/>
      <c r="M189" s="671"/>
      <c r="N189" s="671"/>
      <c r="O189" s="671"/>
      <c r="P189" s="671"/>
      <c r="Q189" s="671"/>
      <c r="R189" s="671"/>
      <c r="S189" s="671"/>
      <c r="T189" s="671"/>
      <c r="U189" s="671"/>
      <c r="V189" s="671"/>
      <c r="W189" s="671"/>
      <c r="X189" s="671"/>
    </row>
    <row r="190" spans="8:24" x14ac:dyDescent="0.35">
      <c r="H190" s="671"/>
      <c r="I190" s="671"/>
      <c r="J190" s="671"/>
      <c r="K190" s="671"/>
      <c r="L190" s="671"/>
      <c r="M190" s="671"/>
      <c r="N190" s="671"/>
      <c r="O190" s="671"/>
      <c r="P190" s="671"/>
      <c r="Q190" s="671"/>
      <c r="R190" s="671"/>
      <c r="S190" s="671"/>
      <c r="T190" s="671"/>
      <c r="U190" s="671"/>
      <c r="V190" s="671"/>
      <c r="W190" s="671"/>
      <c r="X190" s="671"/>
    </row>
    <row r="191" spans="8:24" x14ac:dyDescent="0.35">
      <c r="H191" s="671"/>
      <c r="I191" s="671"/>
      <c r="J191" s="671"/>
      <c r="K191" s="671"/>
      <c r="L191" s="671"/>
      <c r="M191" s="671"/>
      <c r="N191" s="671"/>
      <c r="O191" s="671"/>
      <c r="P191" s="671"/>
      <c r="Q191" s="671"/>
      <c r="R191" s="671"/>
      <c r="S191" s="671"/>
      <c r="T191" s="671"/>
      <c r="U191" s="671"/>
      <c r="V191" s="671"/>
      <c r="W191" s="671"/>
      <c r="X191" s="671"/>
    </row>
    <row r="192" spans="8:24" x14ac:dyDescent="0.35">
      <c r="H192" s="671"/>
      <c r="I192" s="671"/>
      <c r="J192" s="671"/>
      <c r="K192" s="671"/>
      <c r="L192" s="671"/>
      <c r="M192" s="671"/>
      <c r="N192" s="671"/>
      <c r="O192" s="671"/>
      <c r="P192" s="671"/>
      <c r="Q192" s="671"/>
      <c r="R192" s="671"/>
      <c r="S192" s="671"/>
      <c r="T192" s="671"/>
      <c r="U192" s="671"/>
      <c r="V192" s="671"/>
      <c r="W192" s="671"/>
      <c r="X192" s="671"/>
    </row>
    <row r="193" spans="8:24" x14ac:dyDescent="0.35">
      <c r="H193" s="671"/>
      <c r="I193" s="671"/>
      <c r="J193" s="671"/>
      <c r="K193" s="671"/>
      <c r="L193" s="671"/>
      <c r="M193" s="671"/>
      <c r="N193" s="671"/>
      <c r="O193" s="671"/>
      <c r="P193" s="671"/>
      <c r="Q193" s="671"/>
      <c r="R193" s="671"/>
      <c r="S193" s="671"/>
      <c r="T193" s="671"/>
      <c r="U193" s="671"/>
      <c r="V193" s="671"/>
      <c r="W193" s="671"/>
      <c r="X193" s="671"/>
    </row>
    <row r="194" spans="8:24" x14ac:dyDescent="0.35">
      <c r="H194" s="671"/>
      <c r="I194" s="671"/>
      <c r="J194" s="671"/>
      <c r="K194" s="671"/>
      <c r="L194" s="671"/>
      <c r="M194" s="671"/>
      <c r="N194" s="671"/>
      <c r="O194" s="671"/>
      <c r="P194" s="671"/>
      <c r="Q194" s="671"/>
      <c r="R194" s="671"/>
      <c r="S194" s="671"/>
      <c r="T194" s="671"/>
      <c r="U194" s="671"/>
      <c r="V194" s="671"/>
      <c r="W194" s="671"/>
      <c r="X194" s="671"/>
    </row>
    <row r="195" spans="8:24" x14ac:dyDescent="0.35">
      <c r="H195" s="671"/>
      <c r="I195" s="671"/>
      <c r="J195" s="671"/>
      <c r="K195" s="671"/>
      <c r="L195" s="671"/>
      <c r="M195" s="671"/>
      <c r="N195" s="671"/>
      <c r="O195" s="671"/>
      <c r="P195" s="671"/>
      <c r="Q195" s="671"/>
      <c r="R195" s="671"/>
      <c r="S195" s="671"/>
      <c r="T195" s="671"/>
      <c r="U195" s="671"/>
      <c r="V195" s="671"/>
      <c r="W195" s="671"/>
      <c r="X195" s="671"/>
    </row>
    <row r="196" spans="8:24" x14ac:dyDescent="0.35">
      <c r="H196" s="671"/>
      <c r="I196" s="671"/>
      <c r="J196" s="671"/>
      <c r="K196" s="671"/>
      <c r="L196" s="671"/>
      <c r="M196" s="671"/>
      <c r="N196" s="671"/>
      <c r="O196" s="671"/>
      <c r="P196" s="671"/>
      <c r="Q196" s="671"/>
      <c r="R196" s="671"/>
      <c r="S196" s="671"/>
      <c r="T196" s="671"/>
      <c r="U196" s="671"/>
      <c r="V196" s="671"/>
      <c r="W196" s="671"/>
      <c r="X196" s="671"/>
    </row>
    <row r="197" spans="8:24" x14ac:dyDescent="0.35">
      <c r="H197" s="671"/>
      <c r="I197" s="671"/>
      <c r="J197" s="671"/>
      <c r="K197" s="671"/>
      <c r="L197" s="671"/>
      <c r="M197" s="671"/>
      <c r="N197" s="671"/>
      <c r="O197" s="671"/>
      <c r="P197" s="671"/>
      <c r="Q197" s="671"/>
      <c r="R197" s="671"/>
      <c r="S197" s="671"/>
      <c r="T197" s="671"/>
      <c r="U197" s="671"/>
      <c r="V197" s="671"/>
      <c r="W197" s="671"/>
      <c r="X197" s="671"/>
    </row>
    <row r="198" spans="8:24" x14ac:dyDescent="0.35">
      <c r="H198" s="671"/>
      <c r="I198" s="671"/>
      <c r="J198" s="671"/>
      <c r="K198" s="671"/>
      <c r="L198" s="671"/>
      <c r="M198" s="671"/>
      <c r="N198" s="671"/>
      <c r="O198" s="671"/>
      <c r="P198" s="671"/>
      <c r="Q198" s="671"/>
      <c r="R198" s="671"/>
      <c r="S198" s="671"/>
      <c r="T198" s="671"/>
      <c r="U198" s="671"/>
      <c r="V198" s="671"/>
      <c r="W198" s="671"/>
      <c r="X198" s="671"/>
    </row>
    <row r="199" spans="8:24" x14ac:dyDescent="0.35">
      <c r="H199" s="671"/>
      <c r="I199" s="671"/>
      <c r="J199" s="671"/>
      <c r="K199" s="671"/>
      <c r="L199" s="671"/>
      <c r="M199" s="671"/>
      <c r="N199" s="671"/>
      <c r="O199" s="671"/>
      <c r="P199" s="671"/>
      <c r="Q199" s="671"/>
      <c r="R199" s="671"/>
      <c r="S199" s="671"/>
      <c r="T199" s="671"/>
      <c r="U199" s="671"/>
      <c r="V199" s="671"/>
      <c r="W199" s="671"/>
      <c r="X199" s="671"/>
    </row>
    <row r="200" spans="8:24" x14ac:dyDescent="0.35">
      <c r="H200" s="671"/>
      <c r="I200" s="671"/>
      <c r="J200" s="671"/>
      <c r="K200" s="671"/>
      <c r="L200" s="671"/>
      <c r="M200" s="671"/>
      <c r="N200" s="671"/>
      <c r="O200" s="671"/>
      <c r="P200" s="671"/>
      <c r="Q200" s="671"/>
      <c r="R200" s="671"/>
      <c r="S200" s="671"/>
      <c r="T200" s="671"/>
      <c r="U200" s="671"/>
      <c r="V200" s="671"/>
      <c r="W200" s="671"/>
      <c r="X200" s="671"/>
    </row>
    <row r="201" spans="8:24" x14ac:dyDescent="0.35">
      <c r="H201" s="671"/>
      <c r="I201" s="671"/>
      <c r="J201" s="671"/>
      <c r="K201" s="671"/>
      <c r="L201" s="671"/>
      <c r="M201" s="671"/>
      <c r="N201" s="671"/>
      <c r="O201" s="671"/>
      <c r="P201" s="671"/>
      <c r="Q201" s="671"/>
      <c r="R201" s="671"/>
      <c r="S201" s="671"/>
      <c r="T201" s="671"/>
      <c r="U201" s="671"/>
      <c r="V201" s="671"/>
      <c r="W201" s="671"/>
      <c r="X201" s="671"/>
    </row>
    <row r="202" spans="8:24" x14ac:dyDescent="0.35">
      <c r="H202" s="671"/>
      <c r="I202" s="671"/>
      <c r="J202" s="671"/>
      <c r="K202" s="671"/>
      <c r="L202" s="671"/>
      <c r="M202" s="671"/>
      <c r="N202" s="671"/>
      <c r="O202" s="671"/>
      <c r="P202" s="671"/>
      <c r="Q202" s="671"/>
      <c r="R202" s="671"/>
      <c r="S202" s="671"/>
      <c r="T202" s="671"/>
      <c r="U202" s="671"/>
      <c r="V202" s="671"/>
      <c r="W202" s="671"/>
      <c r="X202" s="671"/>
    </row>
    <row r="203" spans="8:24" x14ac:dyDescent="0.35">
      <c r="H203" s="671"/>
      <c r="I203" s="671"/>
      <c r="J203" s="671"/>
      <c r="K203" s="671"/>
      <c r="L203" s="671"/>
      <c r="M203" s="671"/>
      <c r="N203" s="671"/>
      <c r="O203" s="671"/>
      <c r="P203" s="671"/>
      <c r="Q203" s="671"/>
      <c r="R203" s="671"/>
      <c r="S203" s="671"/>
      <c r="T203" s="671"/>
      <c r="U203" s="671"/>
      <c r="V203" s="671"/>
      <c r="W203" s="671"/>
      <c r="X203" s="671"/>
    </row>
    <row r="204" spans="8:24" x14ac:dyDescent="0.35">
      <c r="H204" s="671"/>
      <c r="I204" s="671"/>
      <c r="J204" s="671"/>
      <c r="K204" s="671"/>
      <c r="L204" s="671"/>
      <c r="M204" s="671"/>
      <c r="N204" s="671"/>
      <c r="O204" s="671"/>
      <c r="P204" s="671"/>
      <c r="Q204" s="671"/>
      <c r="R204" s="671"/>
      <c r="S204" s="671"/>
      <c r="T204" s="671"/>
      <c r="U204" s="671"/>
      <c r="V204" s="671"/>
      <c r="W204" s="671"/>
      <c r="X204" s="671"/>
    </row>
    <row r="205" spans="8:24" x14ac:dyDescent="0.35">
      <c r="H205" s="671"/>
      <c r="I205" s="671"/>
      <c r="J205" s="671"/>
      <c r="K205" s="671"/>
      <c r="L205" s="671"/>
      <c r="M205" s="671"/>
      <c r="N205" s="671"/>
      <c r="O205" s="671"/>
      <c r="P205" s="671"/>
      <c r="Q205" s="671"/>
      <c r="R205" s="671"/>
      <c r="S205" s="671"/>
      <c r="T205" s="671"/>
      <c r="U205" s="671"/>
      <c r="V205" s="671"/>
      <c r="W205" s="671"/>
      <c r="X205" s="671"/>
    </row>
    <row r="206" spans="8:24" x14ac:dyDescent="0.35">
      <c r="H206" s="671"/>
      <c r="I206" s="671"/>
      <c r="J206" s="671"/>
      <c r="K206" s="671"/>
      <c r="L206" s="671"/>
      <c r="M206" s="671"/>
      <c r="N206" s="671"/>
      <c r="O206" s="671"/>
      <c r="P206" s="671"/>
      <c r="Q206" s="671"/>
      <c r="R206" s="671"/>
      <c r="S206" s="671"/>
      <c r="T206" s="671"/>
      <c r="U206" s="671"/>
      <c r="V206" s="671"/>
      <c r="W206" s="671"/>
      <c r="X206" s="671"/>
    </row>
    <row r="207" spans="8:24" x14ac:dyDescent="0.35">
      <c r="H207" s="671"/>
      <c r="I207" s="671"/>
      <c r="J207" s="671"/>
      <c r="K207" s="671"/>
      <c r="L207" s="671"/>
      <c r="M207" s="671"/>
      <c r="N207" s="671"/>
      <c r="O207" s="671"/>
      <c r="P207" s="671"/>
      <c r="Q207" s="671"/>
      <c r="R207" s="671"/>
      <c r="S207" s="671"/>
      <c r="T207" s="671"/>
      <c r="U207" s="671"/>
      <c r="V207" s="671"/>
      <c r="W207" s="671"/>
      <c r="X207" s="671"/>
    </row>
    <row r="208" spans="8:24" x14ac:dyDescent="0.35">
      <c r="H208" s="671"/>
      <c r="I208" s="671"/>
      <c r="J208" s="671"/>
      <c r="K208" s="671"/>
      <c r="L208" s="671"/>
      <c r="M208" s="671"/>
      <c r="N208" s="671"/>
      <c r="O208" s="671"/>
      <c r="P208" s="671"/>
      <c r="Q208" s="671"/>
      <c r="R208" s="671"/>
      <c r="S208" s="671"/>
      <c r="T208" s="671"/>
      <c r="U208" s="671"/>
      <c r="V208" s="671"/>
      <c r="W208" s="671"/>
      <c r="X208" s="671"/>
    </row>
    <row r="209" spans="8:24" x14ac:dyDescent="0.35">
      <c r="H209" s="671"/>
      <c r="I209" s="671"/>
      <c r="J209" s="671"/>
      <c r="K209" s="671"/>
      <c r="L209" s="671"/>
      <c r="M209" s="671"/>
      <c r="N209" s="671"/>
      <c r="O209" s="671"/>
      <c r="P209" s="671"/>
      <c r="Q209" s="671"/>
      <c r="R209" s="671"/>
      <c r="S209" s="671"/>
      <c r="T209" s="671"/>
      <c r="U209" s="671"/>
      <c r="V209" s="671"/>
      <c r="W209" s="671"/>
      <c r="X209" s="671"/>
    </row>
    <row r="210" spans="8:24" x14ac:dyDescent="0.35">
      <c r="H210" s="671"/>
      <c r="I210" s="671"/>
      <c r="J210" s="671"/>
      <c r="K210" s="671"/>
      <c r="L210" s="671"/>
      <c r="M210" s="671"/>
      <c r="N210" s="671"/>
      <c r="O210" s="671"/>
      <c r="P210" s="671"/>
      <c r="Q210" s="671"/>
      <c r="R210" s="671"/>
      <c r="S210" s="671"/>
      <c r="T210" s="671"/>
      <c r="U210" s="671"/>
      <c r="V210" s="671"/>
      <c r="W210" s="671"/>
      <c r="X210" s="671"/>
    </row>
    <row r="211" spans="8:24" x14ac:dyDescent="0.35">
      <c r="H211" s="671"/>
      <c r="I211" s="671"/>
      <c r="J211" s="671"/>
      <c r="K211" s="671"/>
      <c r="L211" s="671"/>
      <c r="M211" s="671"/>
      <c r="N211" s="671"/>
      <c r="O211" s="671"/>
      <c r="P211" s="671"/>
      <c r="Q211" s="671"/>
      <c r="R211" s="671"/>
      <c r="S211" s="671"/>
      <c r="T211" s="671"/>
      <c r="U211" s="671"/>
      <c r="V211" s="671"/>
      <c r="W211" s="671"/>
      <c r="X211" s="671"/>
    </row>
    <row r="212" spans="8:24" x14ac:dyDescent="0.35">
      <c r="H212" s="671"/>
      <c r="I212" s="671"/>
      <c r="J212" s="671"/>
      <c r="K212" s="671"/>
      <c r="L212" s="671"/>
      <c r="M212" s="671"/>
      <c r="N212" s="671"/>
      <c r="O212" s="671"/>
      <c r="P212" s="671"/>
      <c r="Q212" s="671"/>
      <c r="R212" s="671"/>
      <c r="S212" s="671"/>
      <c r="T212" s="671"/>
      <c r="U212" s="671"/>
      <c r="V212" s="671"/>
      <c r="W212" s="671"/>
      <c r="X212" s="671"/>
    </row>
    <row r="213" spans="8:24" x14ac:dyDescent="0.35">
      <c r="H213" s="671"/>
      <c r="I213" s="671"/>
      <c r="J213" s="671"/>
      <c r="K213" s="671"/>
      <c r="L213" s="671"/>
      <c r="M213" s="671"/>
      <c r="N213" s="671"/>
      <c r="O213" s="671"/>
      <c r="P213" s="671"/>
      <c r="Q213" s="671"/>
      <c r="R213" s="671"/>
      <c r="S213" s="671"/>
      <c r="T213" s="671"/>
      <c r="U213" s="671"/>
      <c r="V213" s="671"/>
      <c r="W213" s="671"/>
      <c r="X213" s="671"/>
    </row>
    <row r="214" spans="8:24" x14ac:dyDescent="0.35">
      <c r="H214" s="671"/>
      <c r="I214" s="671"/>
      <c r="J214" s="671"/>
      <c r="K214" s="671"/>
      <c r="L214" s="671"/>
      <c r="M214" s="671"/>
      <c r="N214" s="671"/>
      <c r="O214" s="671"/>
      <c r="P214" s="671"/>
      <c r="Q214" s="671"/>
      <c r="R214" s="671"/>
      <c r="S214" s="671"/>
      <c r="T214" s="671"/>
      <c r="U214" s="671"/>
      <c r="V214" s="671"/>
      <c r="W214" s="671"/>
      <c r="X214" s="671"/>
    </row>
    <row r="215" spans="8:24" x14ac:dyDescent="0.35">
      <c r="H215" s="671"/>
      <c r="I215" s="671"/>
      <c r="J215" s="671"/>
      <c r="K215" s="671"/>
      <c r="L215" s="671"/>
      <c r="M215" s="671"/>
      <c r="N215" s="671"/>
      <c r="O215" s="671"/>
      <c r="P215" s="671"/>
      <c r="Q215" s="671"/>
      <c r="R215" s="671"/>
      <c r="S215" s="671"/>
      <c r="T215" s="671"/>
      <c r="U215" s="671"/>
      <c r="V215" s="671"/>
      <c r="W215" s="671"/>
      <c r="X215" s="671"/>
    </row>
    <row r="216" spans="8:24" x14ac:dyDescent="0.35">
      <c r="H216" s="671"/>
      <c r="I216" s="671"/>
      <c r="J216" s="671"/>
      <c r="K216" s="671"/>
      <c r="L216" s="671"/>
      <c r="M216" s="671"/>
      <c r="N216" s="671"/>
      <c r="O216" s="671"/>
      <c r="P216" s="671"/>
      <c r="Q216" s="671"/>
      <c r="R216" s="671"/>
      <c r="S216" s="671"/>
      <c r="T216" s="671"/>
      <c r="U216" s="671"/>
      <c r="V216" s="671"/>
      <c r="W216" s="671"/>
      <c r="X216" s="671"/>
    </row>
    <row r="217" spans="8:24" x14ac:dyDescent="0.35">
      <c r="H217" s="671"/>
      <c r="I217" s="671"/>
      <c r="J217" s="671"/>
      <c r="K217" s="671"/>
      <c r="L217" s="671"/>
      <c r="M217" s="671"/>
      <c r="N217" s="671"/>
      <c r="O217" s="671"/>
      <c r="P217" s="671"/>
      <c r="Q217" s="671"/>
      <c r="R217" s="671"/>
      <c r="S217" s="671"/>
      <c r="T217" s="671"/>
      <c r="U217" s="671"/>
      <c r="V217" s="671"/>
      <c r="W217" s="671"/>
      <c r="X217" s="671"/>
    </row>
    <row r="218" spans="8:24" x14ac:dyDescent="0.35">
      <c r="H218" s="671"/>
      <c r="I218" s="671"/>
      <c r="J218" s="671"/>
      <c r="K218" s="671"/>
      <c r="L218" s="671"/>
      <c r="M218" s="671"/>
      <c r="N218" s="671"/>
      <c r="O218" s="671"/>
      <c r="P218" s="671"/>
      <c r="Q218" s="671"/>
      <c r="R218" s="671"/>
      <c r="S218" s="671"/>
      <c r="T218" s="671"/>
      <c r="U218" s="671"/>
      <c r="V218" s="671"/>
      <c r="W218" s="671"/>
      <c r="X218" s="671"/>
    </row>
    <row r="219" spans="8:24" x14ac:dyDescent="0.35">
      <c r="H219" s="671"/>
      <c r="I219" s="671"/>
      <c r="J219" s="671"/>
      <c r="K219" s="671"/>
      <c r="L219" s="671"/>
      <c r="M219" s="671"/>
      <c r="N219" s="671"/>
      <c r="O219" s="671"/>
      <c r="P219" s="671"/>
      <c r="Q219" s="671"/>
      <c r="R219" s="671"/>
      <c r="S219" s="671"/>
      <c r="T219" s="671"/>
      <c r="U219" s="671"/>
      <c r="V219" s="671"/>
      <c r="W219" s="671"/>
      <c r="X219" s="671"/>
    </row>
    <row r="220" spans="8:24" x14ac:dyDescent="0.35">
      <c r="H220" s="671"/>
      <c r="I220" s="671"/>
      <c r="J220" s="671"/>
      <c r="K220" s="671"/>
      <c r="L220" s="671"/>
      <c r="M220" s="671"/>
      <c r="N220" s="671"/>
      <c r="O220" s="671"/>
      <c r="P220" s="671"/>
      <c r="Q220" s="671"/>
      <c r="R220" s="671"/>
      <c r="S220" s="671"/>
      <c r="T220" s="671"/>
      <c r="U220" s="671"/>
      <c r="V220" s="671"/>
      <c r="W220" s="671"/>
      <c r="X220" s="671"/>
    </row>
    <row r="221" spans="8:24" x14ac:dyDescent="0.35">
      <c r="H221" s="671"/>
      <c r="I221" s="671"/>
      <c r="J221" s="671"/>
      <c r="K221" s="671"/>
      <c r="L221" s="671"/>
      <c r="M221" s="671"/>
      <c r="N221" s="671"/>
      <c r="O221" s="671"/>
      <c r="P221" s="671"/>
      <c r="Q221" s="671"/>
      <c r="R221" s="671"/>
      <c r="S221" s="671"/>
      <c r="T221" s="671"/>
      <c r="U221" s="671"/>
      <c r="V221" s="671"/>
      <c r="W221" s="671"/>
      <c r="X221" s="671"/>
    </row>
    <row r="222" spans="8:24" x14ac:dyDescent="0.35">
      <c r="H222" s="671"/>
      <c r="I222" s="671"/>
      <c r="J222" s="671"/>
      <c r="K222" s="671"/>
      <c r="L222" s="671"/>
      <c r="M222" s="671"/>
      <c r="N222" s="671"/>
      <c r="O222" s="671"/>
      <c r="P222" s="671"/>
      <c r="Q222" s="671"/>
      <c r="R222" s="671"/>
      <c r="S222" s="671"/>
      <c r="T222" s="671"/>
      <c r="U222" s="671"/>
      <c r="V222" s="671"/>
      <c r="W222" s="671"/>
      <c r="X222" s="671"/>
    </row>
    <row r="223" spans="8:24" x14ac:dyDescent="0.35">
      <c r="H223" s="671"/>
      <c r="I223" s="671"/>
      <c r="J223" s="671"/>
      <c r="K223" s="671"/>
      <c r="L223" s="671"/>
      <c r="M223" s="671"/>
      <c r="N223" s="671"/>
      <c r="O223" s="671"/>
      <c r="P223" s="671"/>
      <c r="Q223" s="671"/>
      <c r="R223" s="671"/>
      <c r="S223" s="671"/>
      <c r="T223" s="671"/>
      <c r="U223" s="671"/>
      <c r="V223" s="671"/>
      <c r="W223" s="671"/>
      <c r="X223" s="671"/>
    </row>
    <row r="224" spans="8:24" x14ac:dyDescent="0.35">
      <c r="H224" s="671"/>
      <c r="I224" s="671"/>
      <c r="J224" s="671"/>
      <c r="K224" s="671"/>
      <c r="L224" s="671"/>
      <c r="M224" s="671"/>
      <c r="N224" s="671"/>
      <c r="O224" s="671"/>
      <c r="P224" s="671"/>
      <c r="Q224" s="671"/>
      <c r="R224" s="671"/>
      <c r="S224" s="671"/>
      <c r="T224" s="671"/>
      <c r="U224" s="671"/>
      <c r="V224" s="671"/>
      <c r="W224" s="671"/>
      <c r="X224" s="671"/>
    </row>
    <row r="225" spans="8:24" x14ac:dyDescent="0.35">
      <c r="H225" s="671"/>
      <c r="I225" s="671"/>
      <c r="J225" s="671"/>
      <c r="K225" s="671"/>
      <c r="L225" s="671"/>
      <c r="M225" s="671"/>
      <c r="N225" s="671"/>
      <c r="O225" s="671"/>
      <c r="P225" s="671"/>
      <c r="Q225" s="671"/>
      <c r="R225" s="671"/>
      <c r="S225" s="671"/>
      <c r="T225" s="671"/>
      <c r="U225" s="671"/>
      <c r="V225" s="671"/>
      <c r="W225" s="671"/>
      <c r="X225" s="671"/>
    </row>
    <row r="226" spans="8:24" x14ac:dyDescent="0.35">
      <c r="H226" s="671"/>
      <c r="I226" s="671"/>
      <c r="J226" s="671"/>
      <c r="K226" s="671"/>
      <c r="L226" s="671"/>
      <c r="M226" s="671"/>
      <c r="N226" s="671"/>
      <c r="O226" s="671"/>
      <c r="P226" s="671"/>
      <c r="Q226" s="671"/>
      <c r="R226" s="671"/>
      <c r="S226" s="671"/>
      <c r="T226" s="671"/>
      <c r="U226" s="671"/>
      <c r="V226" s="671"/>
      <c r="W226" s="671"/>
      <c r="X226" s="671"/>
    </row>
    <row r="227" spans="8:24" x14ac:dyDescent="0.35">
      <c r="H227" s="671"/>
      <c r="I227" s="671"/>
      <c r="J227" s="671"/>
      <c r="K227" s="671"/>
      <c r="L227" s="671"/>
      <c r="M227" s="671"/>
      <c r="N227" s="671"/>
      <c r="O227" s="671"/>
      <c r="P227" s="671"/>
      <c r="Q227" s="671"/>
      <c r="R227" s="671"/>
      <c r="S227" s="671"/>
      <c r="T227" s="671"/>
      <c r="U227" s="671"/>
      <c r="V227" s="671"/>
      <c r="W227" s="671"/>
      <c r="X227" s="671"/>
    </row>
    <row r="228" spans="8:24" x14ac:dyDescent="0.35">
      <c r="H228" s="671"/>
      <c r="I228" s="671"/>
      <c r="J228" s="671"/>
      <c r="K228" s="671"/>
      <c r="L228" s="671"/>
      <c r="M228" s="671"/>
      <c r="N228" s="671"/>
      <c r="O228" s="671"/>
      <c r="P228" s="671"/>
      <c r="Q228" s="671"/>
      <c r="R228" s="671"/>
      <c r="S228" s="671"/>
      <c r="T228" s="671"/>
      <c r="U228" s="671"/>
      <c r="V228" s="671"/>
      <c r="W228" s="671"/>
      <c r="X228" s="671"/>
    </row>
    <row r="229" spans="8:24" x14ac:dyDescent="0.35">
      <c r="H229" s="671"/>
      <c r="I229" s="671"/>
      <c r="J229" s="671"/>
      <c r="K229" s="671"/>
      <c r="L229" s="671"/>
      <c r="M229" s="671"/>
      <c r="N229" s="671"/>
      <c r="O229" s="671"/>
      <c r="P229" s="671"/>
      <c r="Q229" s="671"/>
      <c r="R229" s="671"/>
      <c r="S229" s="671"/>
      <c r="T229" s="671"/>
      <c r="U229" s="671"/>
      <c r="V229" s="671"/>
      <c r="W229" s="671"/>
      <c r="X229" s="671"/>
    </row>
    <row r="230" spans="8:24" x14ac:dyDescent="0.35">
      <c r="H230" s="671"/>
      <c r="I230" s="671"/>
      <c r="J230" s="671"/>
      <c r="K230" s="671"/>
      <c r="L230" s="671"/>
      <c r="M230" s="671"/>
      <c r="N230" s="671"/>
      <c r="O230" s="671"/>
      <c r="P230" s="671"/>
      <c r="Q230" s="671"/>
      <c r="R230" s="671"/>
      <c r="S230" s="671"/>
      <c r="T230" s="671"/>
      <c r="U230" s="671"/>
      <c r="V230" s="671"/>
      <c r="W230" s="671"/>
      <c r="X230" s="671"/>
    </row>
    <row r="231" spans="8:24" x14ac:dyDescent="0.35">
      <c r="H231" s="671"/>
      <c r="I231" s="671"/>
      <c r="J231" s="671"/>
      <c r="K231" s="671"/>
      <c r="L231" s="671"/>
      <c r="M231" s="671"/>
      <c r="N231" s="671"/>
      <c r="O231" s="671"/>
      <c r="P231" s="671"/>
      <c r="Q231" s="671"/>
      <c r="R231" s="671"/>
      <c r="S231" s="671"/>
      <c r="T231" s="671"/>
      <c r="U231" s="671"/>
      <c r="V231" s="671"/>
      <c r="W231" s="671"/>
      <c r="X231" s="671"/>
    </row>
    <row r="232" spans="8:24" x14ac:dyDescent="0.35">
      <c r="H232" s="671"/>
      <c r="I232" s="671"/>
      <c r="J232" s="671"/>
      <c r="K232" s="671"/>
      <c r="L232" s="671"/>
      <c r="M232" s="671"/>
      <c r="N232" s="671"/>
      <c r="O232" s="671"/>
      <c r="P232" s="671"/>
      <c r="Q232" s="671"/>
      <c r="R232" s="671"/>
      <c r="S232" s="671"/>
      <c r="T232" s="671"/>
      <c r="U232" s="671"/>
      <c r="V232" s="671"/>
      <c r="W232" s="671"/>
      <c r="X232" s="671"/>
    </row>
    <row r="233" spans="8:24" x14ac:dyDescent="0.35">
      <c r="H233" s="671"/>
      <c r="I233" s="671"/>
      <c r="J233" s="671"/>
      <c r="K233" s="671"/>
      <c r="L233" s="671"/>
      <c r="M233" s="671"/>
      <c r="N233" s="671"/>
      <c r="O233" s="671"/>
      <c r="P233" s="671"/>
      <c r="Q233" s="671"/>
      <c r="R233" s="671"/>
      <c r="S233" s="671"/>
      <c r="T233" s="671"/>
      <c r="U233" s="671"/>
      <c r="V233" s="671"/>
      <c r="W233" s="671"/>
      <c r="X233" s="671"/>
    </row>
    <row r="234" spans="8:24" x14ac:dyDescent="0.35">
      <c r="H234" s="671"/>
      <c r="I234" s="671"/>
      <c r="J234" s="671"/>
      <c r="K234" s="671"/>
      <c r="L234" s="671"/>
      <c r="M234" s="671"/>
      <c r="N234" s="671"/>
      <c r="O234" s="671"/>
      <c r="P234" s="671"/>
      <c r="Q234" s="671"/>
      <c r="R234" s="671"/>
      <c r="S234" s="671"/>
      <c r="T234" s="671"/>
      <c r="U234" s="671"/>
      <c r="V234" s="671"/>
      <c r="W234" s="671"/>
      <c r="X234" s="671"/>
    </row>
    <row r="235" spans="8:24" x14ac:dyDescent="0.35">
      <c r="H235" s="671"/>
      <c r="I235" s="671"/>
      <c r="J235" s="671"/>
      <c r="K235" s="671"/>
      <c r="L235" s="671"/>
      <c r="M235" s="671"/>
      <c r="N235" s="671"/>
      <c r="O235" s="671"/>
      <c r="P235" s="671"/>
      <c r="Q235" s="671"/>
      <c r="R235" s="671"/>
      <c r="S235" s="671"/>
      <c r="T235" s="671"/>
      <c r="U235" s="671"/>
      <c r="V235" s="671"/>
      <c r="W235" s="671"/>
      <c r="X235" s="671"/>
    </row>
    <row r="236" spans="8:24" x14ac:dyDescent="0.35">
      <c r="H236" s="671"/>
      <c r="I236" s="671"/>
      <c r="J236" s="671"/>
      <c r="K236" s="671"/>
      <c r="L236" s="671"/>
      <c r="M236" s="671"/>
      <c r="N236" s="671"/>
      <c r="O236" s="671"/>
      <c r="P236" s="671"/>
      <c r="Q236" s="671"/>
      <c r="R236" s="671"/>
      <c r="S236" s="671"/>
      <c r="T236" s="671"/>
      <c r="U236" s="671"/>
      <c r="V236" s="671"/>
      <c r="W236" s="671"/>
      <c r="X236" s="671"/>
    </row>
    <row r="237" spans="8:24" x14ac:dyDescent="0.35">
      <c r="H237" s="671"/>
      <c r="I237" s="671"/>
      <c r="J237" s="671"/>
      <c r="K237" s="671"/>
      <c r="L237" s="671"/>
      <c r="M237" s="671"/>
      <c r="N237" s="671"/>
      <c r="O237" s="671"/>
      <c r="P237" s="671"/>
      <c r="Q237" s="671"/>
      <c r="R237" s="671"/>
      <c r="S237" s="671"/>
      <c r="T237" s="671"/>
      <c r="U237" s="671"/>
      <c r="V237" s="671"/>
      <c r="W237" s="671"/>
      <c r="X237" s="671"/>
    </row>
    <row r="238" spans="8:24" x14ac:dyDescent="0.35">
      <c r="H238" s="671"/>
      <c r="I238" s="671"/>
      <c r="J238" s="671"/>
      <c r="K238" s="671"/>
      <c r="L238" s="671"/>
      <c r="M238" s="671"/>
      <c r="N238" s="671"/>
      <c r="O238" s="671"/>
      <c r="P238" s="671"/>
      <c r="Q238" s="671"/>
      <c r="R238" s="671"/>
      <c r="S238" s="671"/>
      <c r="T238" s="671"/>
      <c r="U238" s="671"/>
      <c r="V238" s="671"/>
      <c r="W238" s="671"/>
      <c r="X238" s="671"/>
    </row>
    <row r="239" spans="8:24" x14ac:dyDescent="0.35">
      <c r="H239" s="671"/>
      <c r="I239" s="671"/>
      <c r="J239" s="671"/>
      <c r="K239" s="671"/>
      <c r="L239" s="671"/>
      <c r="M239" s="671"/>
      <c r="N239" s="671"/>
      <c r="O239" s="671"/>
      <c r="P239" s="671"/>
      <c r="Q239" s="671"/>
      <c r="R239" s="671"/>
      <c r="S239" s="671"/>
      <c r="T239" s="671"/>
      <c r="U239" s="671"/>
      <c r="V239" s="671"/>
      <c r="W239" s="671"/>
      <c r="X23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pageSetUpPr fitToPage="1"/>
  </sheetPr>
  <dimension ref="B3:X239"/>
  <sheetViews>
    <sheetView topLeftCell="A5" workbookViewId="0">
      <selection activeCell="D25" sqref="D25"/>
    </sheetView>
  </sheetViews>
  <sheetFormatPr baseColWidth="10" defaultColWidth="11.453125" defaultRowHeight="14.5" x14ac:dyDescent="0.35"/>
  <cols>
    <col min="3" max="3" width="38.81640625" customWidth="1"/>
    <col min="4" max="5" width="19.26953125" customWidth="1"/>
    <col min="6" max="6" width="22.7265625" customWidth="1"/>
    <col min="7" max="7" width="0.1796875" customWidth="1"/>
    <col min="8" max="8" width="13.1796875" hidden="1" customWidth="1"/>
    <col min="9" max="9" width="17.453125" hidden="1" customWidth="1"/>
    <col min="10" max="10" width="28.1796875" hidden="1" customWidth="1"/>
    <col min="11" max="11" width="17.54296875" customWidth="1"/>
    <col min="12" max="13" width="14.26953125" customWidth="1"/>
    <col min="14" max="14" width="15.1796875" customWidth="1"/>
    <col min="15" max="15" width="15" customWidth="1"/>
    <col min="16" max="16" width="11.7265625" customWidth="1"/>
    <col min="17" max="17" width="17.26953125" customWidth="1"/>
    <col min="18" max="20" width="11.7265625" bestFit="1" customWidth="1"/>
    <col min="21" max="21" width="12" bestFit="1" customWidth="1"/>
  </cols>
  <sheetData>
    <row r="3" spans="3:19" x14ac:dyDescent="0.35">
      <c r="F3" s="668" t="s">
        <v>287</v>
      </c>
    </row>
    <row r="6" spans="3:19" ht="18.5" x14ac:dyDescent="0.45">
      <c r="C6" s="733" t="s">
        <v>276</v>
      </c>
      <c r="D6" s="733"/>
      <c r="E6" s="733"/>
      <c r="F6" s="733"/>
      <c r="G6" s="733"/>
      <c r="H6" s="733"/>
      <c r="I6" s="733"/>
    </row>
    <row r="7" spans="3:19" ht="16.899999999999999" customHeight="1" x14ac:dyDescent="0.35">
      <c r="C7" s="734" t="s">
        <v>265</v>
      </c>
      <c r="D7" s="734"/>
      <c r="E7" s="734"/>
      <c r="F7" s="734"/>
      <c r="G7" s="734"/>
      <c r="H7" s="734"/>
      <c r="I7" s="734"/>
    </row>
    <row r="8" spans="3:19" ht="12" customHeight="1" x14ac:dyDescent="0.35"/>
    <row r="9" spans="3:19" ht="15.65" hidden="1" customHeight="1" thickBot="1" x14ac:dyDescent="0.4">
      <c r="C9" s="723" t="s">
        <v>245</v>
      </c>
      <c r="D9" s="725" t="s">
        <v>246</v>
      </c>
      <c r="E9" s="726"/>
      <c r="F9" s="726"/>
      <c r="G9" s="726"/>
      <c r="H9" s="727"/>
      <c r="I9" s="728" t="s">
        <v>247</v>
      </c>
      <c r="K9" s="671"/>
      <c r="L9" s="671"/>
      <c r="M9" s="671"/>
      <c r="N9" s="671"/>
      <c r="O9" s="671"/>
    </row>
    <row r="10" spans="3:19" ht="15" hidden="1" customHeight="1" thickBot="1" x14ac:dyDescent="0.4">
      <c r="C10" s="724"/>
      <c r="D10" s="636" t="s">
        <v>248</v>
      </c>
      <c r="E10" s="637" t="s">
        <v>249</v>
      </c>
      <c r="F10" s="636" t="s">
        <v>250</v>
      </c>
      <c r="G10" s="637" t="s">
        <v>251</v>
      </c>
      <c r="H10" s="638" t="s">
        <v>252</v>
      </c>
      <c r="I10" s="729"/>
      <c r="K10" s="672">
        <v>50000</v>
      </c>
      <c r="L10" s="672">
        <v>100000</v>
      </c>
      <c r="M10" s="672">
        <v>250000</v>
      </c>
      <c r="N10" s="672">
        <v>500000</v>
      </c>
      <c r="O10" s="672">
        <v>1000000</v>
      </c>
    </row>
    <row r="11" spans="3:19" ht="13.15" hidden="1" customHeight="1" x14ac:dyDescent="0.35">
      <c r="C11" s="724"/>
      <c r="D11" s="731" t="s">
        <v>253</v>
      </c>
      <c r="E11" s="732"/>
      <c r="F11" s="732"/>
      <c r="G11" s="732"/>
      <c r="H11" s="728"/>
      <c r="I11" s="730"/>
      <c r="K11" s="671"/>
      <c r="L11" s="671"/>
      <c r="M11" s="671"/>
      <c r="N11" s="671"/>
      <c r="O11" s="671"/>
      <c r="P11" s="671"/>
      <c r="R11">
        <v>30</v>
      </c>
      <c r="S11">
        <f>+D16</f>
        <v>3.0288E-4</v>
      </c>
    </row>
    <row r="12" spans="3:19" ht="21" hidden="1" customHeight="1" x14ac:dyDescent="0.35">
      <c r="C12" s="661" t="s">
        <v>254</v>
      </c>
      <c r="D12" s="662">
        <f>K12*0.58</f>
        <v>2.1923999999999997E-3</v>
      </c>
      <c r="E12" s="667">
        <f>$K13*0.58</f>
        <v>2.9811999999999994E-3</v>
      </c>
      <c r="F12" s="667">
        <f>$K14*0.61</f>
        <v>4.1601999999999993E-3</v>
      </c>
      <c r="G12" s="662">
        <f>$K15*0.61</f>
        <v>6.2829999999999995E-3</v>
      </c>
      <c r="H12" s="662">
        <f>$K16*0.65</f>
        <v>7.6992500000000004E-3</v>
      </c>
      <c r="I12" s="662">
        <f>SUM(D12:H12)/5</f>
        <v>4.6632099999999992E-3</v>
      </c>
      <c r="K12" s="671">
        <f>189/50000</f>
        <v>3.7799999999999999E-3</v>
      </c>
      <c r="L12" s="671">
        <f>236/100000</f>
        <v>2.3600000000000001E-3</v>
      </c>
      <c r="M12" s="671">
        <f>289/250000</f>
        <v>1.1559999999999999E-3</v>
      </c>
      <c r="N12" s="671">
        <f>462/500000</f>
        <v>9.2400000000000002E-4</v>
      </c>
      <c r="O12" s="671">
        <f>631/1000000</f>
        <v>6.3100000000000005E-4</v>
      </c>
      <c r="P12" s="671"/>
      <c r="R12">
        <v>31</v>
      </c>
      <c r="S12">
        <f t="shared" ref="S12:S19" si="0">+S11+$U$42</f>
        <v>3.2644400000000001E-4</v>
      </c>
    </row>
    <row r="13" spans="3:19" ht="12.65" hidden="1" customHeight="1" x14ac:dyDescent="0.35">
      <c r="C13" s="661" t="s">
        <v>255</v>
      </c>
      <c r="D13" s="662">
        <f>L12*0.59</f>
        <v>1.3924E-3</v>
      </c>
      <c r="E13" s="667">
        <f>$L13*0.59</f>
        <v>1.8289999999999999E-3</v>
      </c>
      <c r="F13" s="667">
        <f>$L14*0.61</f>
        <v>2.4644000000000003E-3</v>
      </c>
      <c r="G13" s="667">
        <f>$L15*0.65</f>
        <v>3.8219999999999999E-3</v>
      </c>
      <c r="H13" s="662">
        <f>$L16*0.65</f>
        <v>4.3952999999999996E-3</v>
      </c>
      <c r="I13" s="662">
        <f t="shared" ref="I13:I16" si="1">SUM(D13:H13)/5</f>
        <v>2.7806200000000001E-3</v>
      </c>
      <c r="K13" s="671">
        <f>257/K10</f>
        <v>5.1399999999999996E-3</v>
      </c>
      <c r="L13" s="671">
        <f>310/L10</f>
        <v>3.0999999999999999E-3</v>
      </c>
      <c r="M13" s="671">
        <f>394/M10</f>
        <v>1.5759999999999999E-3</v>
      </c>
      <c r="N13" s="671">
        <f>630/N10</f>
        <v>1.2600000000000001E-3</v>
      </c>
      <c r="O13" s="671">
        <f>860/O10</f>
        <v>8.5999999999999998E-4</v>
      </c>
      <c r="P13" s="671"/>
      <c r="R13">
        <f>+R12+1</f>
        <v>32</v>
      </c>
      <c r="S13">
        <f t="shared" si="0"/>
        <v>3.5000800000000001E-4</v>
      </c>
    </row>
    <row r="14" spans="3:19" ht="16.899999999999999" hidden="1" customHeight="1" x14ac:dyDescent="0.35">
      <c r="C14" s="661" t="s">
        <v>266</v>
      </c>
      <c r="D14" s="662">
        <f>M12*0.45</f>
        <v>5.2019999999999996E-4</v>
      </c>
      <c r="E14" s="662">
        <f>$M13*0.5</f>
        <v>7.8799999999999996E-4</v>
      </c>
      <c r="F14" s="662">
        <f>$M14*0.5</f>
        <v>1.0499999999999999E-3</v>
      </c>
      <c r="G14" s="662">
        <f>$M15*0.65</f>
        <v>2.0487999999999999E-3</v>
      </c>
      <c r="H14" s="662">
        <f>$M16*0.58</f>
        <v>2.1023839999999997E-3</v>
      </c>
      <c r="I14" s="662">
        <f t="shared" si="1"/>
        <v>1.3018767999999998E-3</v>
      </c>
      <c r="K14" s="671">
        <f>341/K10</f>
        <v>6.8199999999999997E-3</v>
      </c>
      <c r="L14" s="671">
        <f>404/L10</f>
        <v>4.0400000000000002E-3</v>
      </c>
      <c r="M14" s="671">
        <f>525/M10</f>
        <v>2.0999999999999999E-3</v>
      </c>
      <c r="N14" s="671">
        <f>840/N10</f>
        <v>1.6800000000000001E-3</v>
      </c>
      <c r="O14" s="671">
        <f>1147/O10</f>
        <v>1.147E-3</v>
      </c>
      <c r="P14" s="671"/>
      <c r="R14">
        <f t="shared" ref="R14:R42" si="2">+R13+1</f>
        <v>33</v>
      </c>
      <c r="S14">
        <f t="shared" si="0"/>
        <v>3.7357200000000002E-4</v>
      </c>
    </row>
    <row r="15" spans="3:19" ht="18.649999999999999" hidden="1" customHeight="1" x14ac:dyDescent="0.35">
      <c r="C15" s="661" t="s">
        <v>267</v>
      </c>
      <c r="D15" s="662">
        <f>N12*0.48</f>
        <v>4.4351999999999998E-4</v>
      </c>
      <c r="E15" s="662">
        <f>$N13*0.5</f>
        <v>6.3000000000000003E-4</v>
      </c>
      <c r="F15" s="662">
        <f>$N14*0.5</f>
        <v>8.4000000000000003E-4</v>
      </c>
      <c r="G15" s="662">
        <f>$N15*0.55</f>
        <v>1.3871000000000001E-3</v>
      </c>
      <c r="H15" s="662">
        <f>$N16*0.5</f>
        <v>1.4501499999999999E-3</v>
      </c>
      <c r="I15" s="662">
        <f t="shared" si="1"/>
        <v>9.5015399999999993E-4</v>
      </c>
      <c r="K15" s="671">
        <f>515/K10</f>
        <v>1.03E-2</v>
      </c>
      <c r="L15" s="671">
        <f>588/L10</f>
        <v>5.8799999999999998E-3</v>
      </c>
      <c r="M15" s="671">
        <f>788/M10</f>
        <v>3.1519999999999999E-3</v>
      </c>
      <c r="N15" s="671">
        <f>1261/N10</f>
        <v>2.5219999999999999E-3</v>
      </c>
      <c r="O15" s="671">
        <f>1836/O10</f>
        <v>1.836E-3</v>
      </c>
      <c r="P15" s="671"/>
      <c r="R15">
        <f t="shared" si="2"/>
        <v>34</v>
      </c>
      <c r="S15">
        <f t="shared" si="0"/>
        <v>3.9713600000000003E-4</v>
      </c>
    </row>
    <row r="16" spans="3:19" ht="17.5" hidden="1" customHeight="1" x14ac:dyDescent="0.35">
      <c r="C16" s="661" t="s">
        <v>268</v>
      </c>
      <c r="D16" s="662">
        <f>O12*0.48</f>
        <v>3.0288E-4</v>
      </c>
      <c r="E16" s="662">
        <f>$O13*0.5</f>
        <v>4.2999999999999999E-4</v>
      </c>
      <c r="F16" s="662">
        <f>$O14*0.48</f>
        <v>5.5055999999999996E-4</v>
      </c>
      <c r="G16" s="662">
        <f>$O15*0.55</f>
        <v>1.0098000000000002E-3</v>
      </c>
      <c r="H16" s="662">
        <f>$O16*0.52</f>
        <v>1.097928E-3</v>
      </c>
      <c r="I16" s="662">
        <f t="shared" si="1"/>
        <v>6.7823359999999997E-4</v>
      </c>
      <c r="K16" s="671">
        <f>K15*1.15</f>
        <v>1.1845E-2</v>
      </c>
      <c r="L16" s="671">
        <f t="shared" ref="L16:O16" si="3">L15*1.15</f>
        <v>6.7619999999999989E-3</v>
      </c>
      <c r="M16" s="671">
        <f t="shared" si="3"/>
        <v>3.6247999999999996E-3</v>
      </c>
      <c r="N16" s="671">
        <f t="shared" si="3"/>
        <v>2.9002999999999998E-3</v>
      </c>
      <c r="O16" s="671">
        <f t="shared" si="3"/>
        <v>2.1113999999999998E-3</v>
      </c>
      <c r="P16" s="671"/>
      <c r="R16">
        <f t="shared" si="2"/>
        <v>35</v>
      </c>
      <c r="S16">
        <f t="shared" si="0"/>
        <v>4.2070000000000003E-4</v>
      </c>
    </row>
    <row r="17" spans="3:24" hidden="1" x14ac:dyDescent="0.35">
      <c r="H17" s="671"/>
      <c r="I17" s="671"/>
      <c r="J17" s="671"/>
      <c r="K17" s="671"/>
      <c r="L17" s="671"/>
      <c r="M17" s="671"/>
      <c r="N17" s="671"/>
      <c r="O17" s="671"/>
      <c r="P17" s="671"/>
      <c r="Q17" s="671"/>
      <c r="R17" s="671">
        <f t="shared" si="2"/>
        <v>36</v>
      </c>
      <c r="S17" s="671">
        <f t="shared" si="0"/>
        <v>4.4426400000000004E-4</v>
      </c>
      <c r="T17" s="671"/>
      <c r="U17" s="671"/>
      <c r="V17" s="671"/>
      <c r="W17" s="671"/>
      <c r="X17" s="671"/>
    </row>
    <row r="18" spans="3:24" x14ac:dyDescent="0.35">
      <c r="H18" s="671"/>
      <c r="I18" s="671"/>
      <c r="J18" s="671"/>
      <c r="K18" s="663">
        <v>1.7765999999999999E-3</v>
      </c>
      <c r="L18" s="663">
        <v>1.1092000000000001E-3</v>
      </c>
      <c r="M18" s="663">
        <v>4.0459999999999997E-4</v>
      </c>
      <c r="N18" s="663">
        <v>2.7720000000000002E-4</v>
      </c>
      <c r="O18" s="663">
        <v>2.2085E-4</v>
      </c>
      <c r="P18" s="663"/>
      <c r="Q18" s="671"/>
      <c r="R18" s="671">
        <f t="shared" si="2"/>
        <v>37</v>
      </c>
      <c r="S18" s="671">
        <f t="shared" si="0"/>
        <v>4.6782800000000005E-4</v>
      </c>
      <c r="T18" s="671"/>
      <c r="U18" s="671"/>
      <c r="V18" s="671"/>
      <c r="W18" s="671"/>
      <c r="X18" s="671"/>
    </row>
    <row r="19" spans="3:24" x14ac:dyDescent="0.35">
      <c r="C19" s="642" t="s">
        <v>256</v>
      </c>
      <c r="D19" s="642"/>
      <c r="E19" s="643" t="s">
        <v>262</v>
      </c>
      <c r="F19" s="664" t="s">
        <v>263</v>
      </c>
      <c r="G19" s="665"/>
      <c r="H19" s="671"/>
      <c r="I19" s="671"/>
      <c r="J19" s="671"/>
      <c r="K19" s="663">
        <v>2.5185999999999997E-3</v>
      </c>
      <c r="L19" s="663">
        <v>1.519E-3</v>
      </c>
      <c r="M19" s="663">
        <v>5.5159999999999996E-4</v>
      </c>
      <c r="N19" s="663">
        <v>3.7800000000000003E-4</v>
      </c>
      <c r="O19" s="663">
        <v>2.5799999999999998E-4</v>
      </c>
      <c r="P19" s="663"/>
      <c r="Q19" s="671"/>
      <c r="R19" s="671">
        <f t="shared" si="2"/>
        <v>38</v>
      </c>
      <c r="S19" s="671">
        <f t="shared" si="0"/>
        <v>4.91392E-4</v>
      </c>
      <c r="T19" s="671"/>
      <c r="U19" s="671"/>
      <c r="V19" s="671"/>
      <c r="W19" s="671"/>
      <c r="X19" s="671"/>
    </row>
    <row r="20" spans="3:24" x14ac:dyDescent="0.35">
      <c r="C20" s="668"/>
      <c r="D20" s="668"/>
      <c r="E20" s="665"/>
      <c r="F20" s="665"/>
      <c r="G20" s="665"/>
      <c r="H20" s="671"/>
      <c r="I20" s="671"/>
      <c r="J20" s="671"/>
      <c r="K20" s="663"/>
      <c r="L20" s="663"/>
      <c r="M20" s="663"/>
      <c r="N20" s="663"/>
      <c r="O20" s="663"/>
      <c r="P20" s="663"/>
      <c r="Q20" s="671"/>
      <c r="R20" s="671"/>
      <c r="S20" s="671"/>
      <c r="T20" s="671"/>
      <c r="U20" s="671"/>
      <c r="V20" s="671"/>
      <c r="W20" s="671"/>
      <c r="X20" s="671"/>
    </row>
    <row r="21" spans="3:24" x14ac:dyDescent="0.35">
      <c r="C21" t="s">
        <v>288</v>
      </c>
      <c r="D21">
        <v>1</v>
      </c>
      <c r="H21" s="671"/>
      <c r="I21" s="671"/>
      <c r="J21" s="671"/>
      <c r="K21" s="663">
        <v>3.3417999999999998E-3</v>
      </c>
      <c r="L21" s="663">
        <v>1.9796000000000002E-3</v>
      </c>
      <c r="M21" s="663">
        <v>7.3499999999999987E-4</v>
      </c>
      <c r="N21" s="663">
        <v>5.04E-4</v>
      </c>
      <c r="O21" s="663">
        <v>3.4410000000000002E-4</v>
      </c>
      <c r="P21" s="663"/>
      <c r="Q21" s="671"/>
      <c r="R21" s="671">
        <f>+R19+1</f>
        <v>39</v>
      </c>
      <c r="S21" s="671">
        <f>+S19+$U$42</f>
        <v>5.1495600000000001E-4</v>
      </c>
      <c r="T21" s="671"/>
      <c r="U21" s="671"/>
      <c r="V21" s="671"/>
      <c r="W21" s="671"/>
      <c r="X21" s="671"/>
    </row>
    <row r="22" spans="3:24" x14ac:dyDescent="0.35">
      <c r="C22" t="s">
        <v>257</v>
      </c>
      <c r="D22">
        <v>18</v>
      </c>
      <c r="H22" s="671"/>
      <c r="I22" s="671"/>
      <c r="J22" s="671"/>
      <c r="K22" s="663">
        <v>3.3417999999999998E-3</v>
      </c>
      <c r="L22" s="663">
        <v>1.9796000000000002E-3</v>
      </c>
      <c r="M22" s="663">
        <v>1.2599999999999998E-3</v>
      </c>
      <c r="N22" s="663">
        <v>1.008E-3</v>
      </c>
      <c r="O22" s="663">
        <v>6.8820000000000003E-4</v>
      </c>
      <c r="P22" s="663"/>
      <c r="Q22" s="671"/>
      <c r="R22" s="671">
        <f t="shared" si="2"/>
        <v>40</v>
      </c>
      <c r="S22" s="671">
        <f t="shared" ref="S22:S41" si="4">+S21+$U$42</f>
        <v>5.3852000000000001E-4</v>
      </c>
      <c r="T22" s="671"/>
      <c r="U22" s="671"/>
      <c r="V22" s="671"/>
      <c r="W22" s="671"/>
      <c r="X22" s="671"/>
    </row>
    <row r="23" spans="3:24" x14ac:dyDescent="0.35">
      <c r="H23" s="671"/>
      <c r="I23" s="671"/>
      <c r="J23" s="671"/>
      <c r="K23" s="663">
        <v>3.751E-3</v>
      </c>
      <c r="L23" s="663">
        <v>2.2220000000000005E-3</v>
      </c>
      <c r="M23" s="663">
        <v>1.3649999999999999E-3</v>
      </c>
      <c r="N23" s="663">
        <v>1.0920000000000001E-3</v>
      </c>
      <c r="O23" s="663">
        <v>7.4554999999999999E-4</v>
      </c>
      <c r="P23" s="663"/>
      <c r="Q23" s="671"/>
      <c r="R23" s="671">
        <f t="shared" si="2"/>
        <v>41</v>
      </c>
      <c r="S23" s="671">
        <f t="shared" si="4"/>
        <v>5.6208400000000002E-4</v>
      </c>
      <c r="T23" s="671"/>
      <c r="U23" s="671"/>
      <c r="V23" s="671"/>
      <c r="W23" s="671"/>
      <c r="X23" s="671"/>
    </row>
    <row r="24" spans="3:24" x14ac:dyDescent="0.35">
      <c r="C24" t="s">
        <v>258</v>
      </c>
      <c r="D24" s="639">
        <f>IF(COTIZADOR!D12&lt;250000,100000,1000000)</f>
        <v>100000</v>
      </c>
      <c r="H24" s="671"/>
      <c r="I24" s="671"/>
      <c r="J24" s="671"/>
      <c r="K24" s="671"/>
      <c r="L24" s="671"/>
      <c r="M24" s="671"/>
      <c r="N24" s="671"/>
      <c r="O24" s="671"/>
      <c r="P24" s="671"/>
      <c r="Q24" s="671"/>
      <c r="R24" s="671">
        <f t="shared" si="2"/>
        <v>42</v>
      </c>
      <c r="S24" s="671">
        <f t="shared" si="4"/>
        <v>5.8564800000000003E-4</v>
      </c>
      <c r="T24" s="671"/>
      <c r="U24" s="671"/>
      <c r="V24" s="671"/>
      <c r="W24" s="671"/>
      <c r="X24" s="671"/>
    </row>
    <row r="25" spans="3:24" x14ac:dyDescent="0.35">
      <c r="H25" s="671"/>
      <c r="I25" s="671"/>
      <c r="J25" s="671"/>
      <c r="K25" s="671"/>
      <c r="L25" s="671"/>
      <c r="M25" s="671"/>
      <c r="N25" s="671"/>
      <c r="O25" s="671"/>
      <c r="P25" s="671"/>
      <c r="Q25" s="671"/>
      <c r="R25" s="671">
        <f t="shared" si="2"/>
        <v>43</v>
      </c>
      <c r="S25" s="671">
        <f t="shared" si="4"/>
        <v>6.0921200000000003E-4</v>
      </c>
      <c r="T25" s="671"/>
      <c r="U25" s="671"/>
      <c r="V25" s="671"/>
      <c r="W25" s="671"/>
      <c r="X25" s="671"/>
    </row>
    <row r="26" spans="3:24" x14ac:dyDescent="0.35">
      <c r="C26" t="s">
        <v>261</v>
      </c>
      <c r="E26" s="639">
        <f>+IF(D21=1,IF(D24=K10,VLOOKUP(D22,'ANEXO No.1'!B11:G76,2),IF('Depen C'!D24='Depen C'!L10,VLOOKUP(D22,'ANEXO No.1'!B11:G76,3),IF('Depen C'!D24='Depen C'!M10,VLOOKUP(D22,'ANEXO No.1'!B11:G76,4),IF('Depen C'!D24='Depen C'!N10,VLOOKUP(D22,'ANEXO No.1'!B11:G76,5),IF('Depen C'!D24='Depen C'!O10,VLOOKUP(D22,'ANEXO No.1'!B11:G76,6))))))*D24,IF(D24=K10,VLOOKUP(D22,'ANEXO No.1'!B11:G76,2),IF('Depen C'!D24='Depen C'!L10,VLOOKUP(D22,'ANEXO No.1'!B11:G76,3),IF('Depen C'!D24='Depen C'!M10,VLOOKUP(D22,'ANEXO No.1'!B11:G76,4),IF('Depen C'!D24='Depen C'!N10,VLOOKUP(D22,'ANEXO No.1'!B11:G76,5),IF('Depen C'!D24='Depen C'!O10,VLOOKUP(D22,'ANEXO No.1'!B11:G76,6))))))*D24*1.15)</f>
        <v>142.78000000000003</v>
      </c>
      <c r="F26" s="639"/>
      <c r="H26" s="671"/>
      <c r="I26" s="671"/>
      <c r="J26" s="671"/>
      <c r="K26" s="671"/>
      <c r="L26" s="671"/>
      <c r="M26" s="671"/>
      <c r="N26" s="671"/>
      <c r="O26" s="671"/>
      <c r="P26" s="671"/>
      <c r="Q26" s="671"/>
      <c r="R26" s="671">
        <f t="shared" si="2"/>
        <v>44</v>
      </c>
      <c r="S26" s="671">
        <f t="shared" si="4"/>
        <v>6.3277600000000004E-4</v>
      </c>
      <c r="T26" s="671"/>
      <c r="U26" s="671"/>
      <c r="V26" s="671"/>
      <c r="W26" s="671"/>
      <c r="X26" s="671"/>
    </row>
    <row r="27" spans="3:24" x14ac:dyDescent="0.35">
      <c r="E27" s="639"/>
      <c r="F27" s="639"/>
      <c r="H27" s="671"/>
      <c r="I27" s="671"/>
      <c r="J27" s="671"/>
      <c r="K27" s="671"/>
      <c r="L27" s="671"/>
      <c r="M27" s="671"/>
      <c r="N27" s="671"/>
      <c r="O27" s="671"/>
      <c r="P27" s="671"/>
      <c r="Q27" s="671"/>
      <c r="R27" s="671">
        <f t="shared" si="2"/>
        <v>45</v>
      </c>
      <c r="S27" s="671">
        <f t="shared" si="4"/>
        <v>6.5634000000000005E-4</v>
      </c>
      <c r="T27" s="671"/>
      <c r="U27" s="671"/>
      <c r="V27" s="671"/>
      <c r="W27" s="671"/>
      <c r="X27" s="671"/>
    </row>
    <row r="28" spans="3:24" x14ac:dyDescent="0.35">
      <c r="C28" t="s">
        <v>259</v>
      </c>
      <c r="D28" t="str">
        <f>COTIZADOR!D28</f>
        <v>CA</v>
      </c>
      <c r="E28" s="639">
        <f>+IF(D28="MUNDIAL",E26*0.3,0)</f>
        <v>0</v>
      </c>
      <c r="F28" s="639"/>
      <c r="H28" s="671"/>
      <c r="I28" s="671"/>
      <c r="J28" s="671"/>
      <c r="K28" s="671"/>
      <c r="L28" s="671"/>
      <c r="M28" s="671"/>
      <c r="N28" s="671"/>
      <c r="O28" s="671"/>
      <c r="P28" s="671"/>
      <c r="Q28" s="671"/>
      <c r="R28" s="671">
        <f t="shared" si="2"/>
        <v>46</v>
      </c>
      <c r="S28" s="671">
        <f t="shared" si="4"/>
        <v>6.7990400000000006E-4</v>
      </c>
      <c r="T28" s="671"/>
      <c r="U28" s="671"/>
      <c r="V28" s="671"/>
      <c r="W28" s="671"/>
      <c r="X28" s="671"/>
    </row>
    <row r="29" spans="3:24" x14ac:dyDescent="0.35">
      <c r="E29" s="639"/>
      <c r="F29" s="639"/>
      <c r="H29" s="671"/>
      <c r="I29" s="671"/>
      <c r="J29" s="671"/>
      <c r="K29" s="671"/>
      <c r="L29" s="671"/>
      <c r="M29" s="671"/>
      <c r="N29" s="671"/>
      <c r="O29" s="671"/>
      <c r="P29" s="671"/>
      <c r="Q29" s="671"/>
      <c r="R29" s="671">
        <f t="shared" si="2"/>
        <v>47</v>
      </c>
      <c r="S29" s="671">
        <f t="shared" si="4"/>
        <v>7.0346800000000006E-4</v>
      </c>
      <c r="T29" s="671"/>
      <c r="U29" s="671"/>
      <c r="V29" s="671"/>
      <c r="W29" s="671"/>
      <c r="X29" s="671"/>
    </row>
    <row r="30" spans="3:24" x14ac:dyDescent="0.35">
      <c r="C30" t="s">
        <v>260</v>
      </c>
      <c r="E30" s="639">
        <f>SUM(E26:E29)</f>
        <v>142.78000000000003</v>
      </c>
      <c r="F30" s="639">
        <f>E30/(1-0.4)</f>
        <v>237.96666666666673</v>
      </c>
      <c r="H30" s="671"/>
      <c r="I30" s="671"/>
      <c r="J30" s="671"/>
      <c r="K30" s="671"/>
      <c r="L30" s="671"/>
      <c r="M30" s="671"/>
      <c r="N30" s="671"/>
      <c r="O30" s="671"/>
      <c r="P30" s="671"/>
      <c r="Q30" s="671"/>
      <c r="R30" s="671">
        <f t="shared" si="2"/>
        <v>48</v>
      </c>
      <c r="S30" s="671">
        <f t="shared" si="4"/>
        <v>7.2703200000000007E-4</v>
      </c>
      <c r="T30" s="671"/>
      <c r="U30" s="671"/>
      <c r="V30" s="671"/>
      <c r="W30" s="671"/>
      <c r="X30" s="671"/>
    </row>
    <row r="31" spans="3:24" x14ac:dyDescent="0.35">
      <c r="E31" s="639"/>
      <c r="F31" s="639"/>
      <c r="H31" s="671"/>
      <c r="I31" s="671"/>
      <c r="J31" s="671"/>
      <c r="K31" s="671"/>
      <c r="L31" s="671"/>
      <c r="M31" s="671"/>
      <c r="N31" s="671"/>
      <c r="O31" s="671"/>
      <c r="P31" s="671"/>
      <c r="Q31" s="671"/>
      <c r="R31" s="671">
        <f t="shared" si="2"/>
        <v>49</v>
      </c>
      <c r="S31" s="671">
        <f t="shared" si="4"/>
        <v>7.5059600000000008E-4</v>
      </c>
      <c r="T31" s="671"/>
      <c r="U31" s="671"/>
      <c r="V31" s="671"/>
      <c r="W31" s="671"/>
      <c r="X31" s="671"/>
    </row>
    <row r="32" spans="3:24" x14ac:dyDescent="0.35">
      <c r="E32" s="639"/>
      <c r="F32" s="639"/>
      <c r="H32" s="671"/>
      <c r="I32" s="671"/>
      <c r="J32" s="671"/>
      <c r="K32" s="671"/>
      <c r="L32" s="671"/>
      <c r="M32" s="671"/>
      <c r="N32" s="671"/>
      <c r="O32" s="671"/>
      <c r="P32" s="671"/>
      <c r="Q32" s="671"/>
      <c r="R32" s="671">
        <f t="shared" si="2"/>
        <v>50</v>
      </c>
      <c r="S32" s="671">
        <f t="shared" si="4"/>
        <v>7.7416000000000008E-4</v>
      </c>
      <c r="T32" s="671"/>
      <c r="U32" s="671"/>
      <c r="V32" s="671"/>
      <c r="W32" s="671"/>
      <c r="X32" s="671"/>
    </row>
    <row r="33" spans="2:24" ht="15" thickBot="1" x14ac:dyDescent="0.4">
      <c r="C33" s="640" t="s">
        <v>264</v>
      </c>
      <c r="D33" s="640"/>
      <c r="E33" s="641"/>
      <c r="F33" s="641">
        <f>+F30</f>
        <v>237.96666666666673</v>
      </c>
      <c r="G33" s="666"/>
      <c r="H33" s="671"/>
      <c r="I33" s="671"/>
      <c r="J33" s="671"/>
      <c r="K33" s="676"/>
      <c r="L33" s="671"/>
      <c r="M33" s="671"/>
      <c r="N33" s="671"/>
      <c r="O33" s="671"/>
      <c r="P33" s="671"/>
      <c r="Q33" s="671"/>
      <c r="R33" s="671">
        <f t="shared" si="2"/>
        <v>51</v>
      </c>
      <c r="S33" s="671">
        <f t="shared" si="4"/>
        <v>7.9772400000000009E-4</v>
      </c>
      <c r="T33" s="671"/>
      <c r="U33" s="671"/>
      <c r="V33" s="671"/>
      <c r="W33" s="671"/>
      <c r="X33" s="671"/>
    </row>
    <row r="34" spans="2:24" ht="15" thickTop="1" x14ac:dyDescent="0.35">
      <c r="H34" s="671"/>
      <c r="I34" s="671"/>
      <c r="J34" s="671"/>
      <c r="K34" s="671"/>
      <c r="L34" s="671"/>
      <c r="M34" s="671"/>
      <c r="N34" s="671"/>
      <c r="O34" s="671"/>
      <c r="P34" s="671"/>
      <c r="Q34" s="671"/>
      <c r="R34" s="671">
        <f t="shared" si="2"/>
        <v>52</v>
      </c>
      <c r="S34" s="671">
        <f t="shared" si="4"/>
        <v>8.212880000000001E-4</v>
      </c>
      <c r="T34" s="671"/>
      <c r="U34" s="671"/>
      <c r="V34" s="671"/>
      <c r="W34" s="671"/>
      <c r="X34" s="671"/>
    </row>
    <row r="35" spans="2:24" x14ac:dyDescent="0.35">
      <c r="H35" s="671"/>
      <c r="I35" s="671"/>
      <c r="J35" s="671"/>
      <c r="K35" s="671"/>
      <c r="L35" s="671"/>
      <c r="M35" s="671"/>
      <c r="N35" s="671"/>
      <c r="O35" s="671"/>
      <c r="P35" s="671"/>
      <c r="Q35" s="671"/>
      <c r="R35" s="671">
        <f t="shared" si="2"/>
        <v>53</v>
      </c>
      <c r="S35" s="671">
        <f t="shared" si="4"/>
        <v>8.448520000000001E-4</v>
      </c>
      <c r="T35" s="671"/>
      <c r="U35" s="671"/>
      <c r="V35" s="671"/>
      <c r="W35" s="671"/>
      <c r="X35" s="671"/>
    </row>
    <row r="36" spans="2:24" x14ac:dyDescent="0.35">
      <c r="H36" s="671"/>
      <c r="I36" s="671"/>
      <c r="J36" s="671"/>
      <c r="K36" s="671"/>
      <c r="L36" s="671"/>
      <c r="M36" s="671"/>
      <c r="N36" s="671"/>
      <c r="O36" s="671"/>
      <c r="P36" s="671"/>
      <c r="Q36" s="671"/>
      <c r="R36" s="671">
        <f t="shared" si="2"/>
        <v>54</v>
      </c>
      <c r="S36" s="671">
        <f t="shared" si="4"/>
        <v>8.6841600000000011E-4</v>
      </c>
      <c r="T36" s="671"/>
      <c r="U36" s="671"/>
      <c r="V36" s="671"/>
      <c r="W36" s="671"/>
      <c r="X36" s="671"/>
    </row>
    <row r="37" spans="2:24" x14ac:dyDescent="0.35">
      <c r="C37" t="s">
        <v>293</v>
      </c>
      <c r="H37" s="671"/>
      <c r="I37" s="671"/>
      <c r="J37" s="671"/>
      <c r="K37" s="671"/>
      <c r="L37" s="671"/>
      <c r="M37" s="671"/>
      <c r="N37" s="671"/>
      <c r="O37" s="671"/>
      <c r="P37" s="671"/>
      <c r="Q37" s="671"/>
      <c r="R37" s="671">
        <f t="shared" si="2"/>
        <v>55</v>
      </c>
      <c r="S37" s="671">
        <f t="shared" si="4"/>
        <v>8.9198000000000012E-4</v>
      </c>
      <c r="T37" s="671"/>
      <c r="U37" s="671"/>
      <c r="V37" s="671"/>
      <c r="W37" s="671"/>
      <c r="X37" s="671"/>
    </row>
    <row r="38" spans="2:24" x14ac:dyDescent="0.35">
      <c r="H38" s="671"/>
      <c r="I38" s="671"/>
      <c r="J38" s="671"/>
      <c r="K38" s="671"/>
      <c r="L38" s="671"/>
      <c r="M38" s="671"/>
      <c r="N38" s="671"/>
      <c r="O38" s="671"/>
      <c r="P38" s="671"/>
      <c r="Q38" s="671"/>
      <c r="R38" s="671">
        <f t="shared" si="2"/>
        <v>56</v>
      </c>
      <c r="S38" s="671">
        <f t="shared" si="4"/>
        <v>9.1554400000000012E-4</v>
      </c>
      <c r="T38" s="671"/>
      <c r="U38" s="671"/>
      <c r="V38" s="671"/>
      <c r="W38" s="671"/>
      <c r="X38" s="671"/>
    </row>
    <row r="39" spans="2:24" x14ac:dyDescent="0.35">
      <c r="B39" s="642" t="s">
        <v>270</v>
      </c>
      <c r="C39" s="673" t="s">
        <v>289</v>
      </c>
      <c r="D39" s="642" t="s">
        <v>80</v>
      </c>
      <c r="E39" s="642" t="s">
        <v>262</v>
      </c>
      <c r="F39" s="642" t="s">
        <v>263</v>
      </c>
      <c r="H39" s="671"/>
      <c r="I39" s="671"/>
      <c r="J39" s="671"/>
      <c r="K39" s="671"/>
      <c r="L39" s="671"/>
      <c r="M39" s="671"/>
      <c r="N39" s="671"/>
      <c r="O39" s="671"/>
      <c r="P39" s="671"/>
      <c r="Q39" s="671"/>
      <c r="R39" s="671">
        <f t="shared" si="2"/>
        <v>57</v>
      </c>
      <c r="S39" s="671">
        <f t="shared" si="4"/>
        <v>9.3910800000000013E-4</v>
      </c>
      <c r="T39" s="671"/>
      <c r="U39" s="671"/>
      <c r="V39" s="671"/>
      <c r="W39" s="671"/>
      <c r="X39" s="671"/>
    </row>
    <row r="40" spans="2:24" x14ac:dyDescent="0.35">
      <c r="B40" s="674">
        <v>18</v>
      </c>
      <c r="C40" s="674" t="s">
        <v>290</v>
      </c>
      <c r="D40" s="639">
        <v>100000</v>
      </c>
      <c r="E40" s="675">
        <v>139.24</v>
      </c>
      <c r="F40" s="675">
        <v>232.07</v>
      </c>
      <c r="H40" s="671"/>
      <c r="I40" s="671"/>
      <c r="J40" s="671"/>
      <c r="K40" s="671"/>
      <c r="L40" s="671"/>
      <c r="M40" s="671"/>
      <c r="N40" s="671"/>
      <c r="O40" s="671"/>
      <c r="P40" s="671"/>
      <c r="Q40" s="671"/>
      <c r="R40" s="671">
        <f t="shared" si="2"/>
        <v>58</v>
      </c>
      <c r="S40" s="671">
        <f t="shared" si="4"/>
        <v>9.6267200000000014E-4</v>
      </c>
      <c r="T40" s="671"/>
      <c r="U40" s="671"/>
      <c r="V40" s="671"/>
      <c r="W40" s="671"/>
      <c r="X40" s="671"/>
    </row>
    <row r="41" spans="2:24" x14ac:dyDescent="0.35">
      <c r="B41" s="674">
        <v>30</v>
      </c>
      <c r="C41" s="674" t="s">
        <v>290</v>
      </c>
      <c r="D41" s="639">
        <v>100000</v>
      </c>
      <c r="E41" s="675">
        <v>139.24</v>
      </c>
      <c r="F41" s="675">
        <v>232.07</v>
      </c>
      <c r="H41" s="671"/>
      <c r="I41" s="671"/>
      <c r="J41" s="671"/>
      <c r="K41" s="671"/>
      <c r="L41" s="671"/>
      <c r="M41" s="671"/>
      <c r="N41" s="671"/>
      <c r="O41" s="671"/>
      <c r="P41" s="671"/>
      <c r="Q41" s="671"/>
      <c r="R41" s="671">
        <f t="shared" si="2"/>
        <v>59</v>
      </c>
      <c r="S41" s="671">
        <f t="shared" si="4"/>
        <v>9.8623600000000014E-4</v>
      </c>
      <c r="T41" s="671"/>
      <c r="U41" s="671"/>
      <c r="V41" s="671"/>
      <c r="W41" s="671"/>
      <c r="X41" s="671"/>
    </row>
    <row r="42" spans="2:24" x14ac:dyDescent="0.35">
      <c r="B42" s="674">
        <v>40</v>
      </c>
      <c r="C42" s="674" t="s">
        <v>290</v>
      </c>
      <c r="D42" s="639">
        <v>100000</v>
      </c>
      <c r="E42" s="675">
        <v>220.23</v>
      </c>
      <c r="F42" s="675">
        <v>367.04</v>
      </c>
      <c r="H42" s="671"/>
      <c r="I42" s="671"/>
      <c r="J42" s="671"/>
      <c r="K42" s="671"/>
      <c r="L42" s="671"/>
      <c r="M42" s="671"/>
      <c r="N42" s="671"/>
      <c r="O42" s="671"/>
      <c r="P42" s="671"/>
      <c r="Q42" s="671"/>
      <c r="R42" s="671">
        <f t="shared" si="2"/>
        <v>60</v>
      </c>
      <c r="S42" s="671">
        <f>+G16</f>
        <v>1.0098000000000002E-3</v>
      </c>
      <c r="T42" s="671">
        <f>+(S42-S11)</f>
        <v>7.069200000000002E-4</v>
      </c>
      <c r="U42" s="671">
        <f>+T42/30</f>
        <v>2.3564000000000007E-5</v>
      </c>
      <c r="V42" s="671"/>
      <c r="W42" s="671"/>
      <c r="X42" s="671"/>
    </row>
    <row r="43" spans="2:24" x14ac:dyDescent="0.35">
      <c r="B43" s="674">
        <v>50</v>
      </c>
      <c r="C43" s="674" t="s">
        <v>290</v>
      </c>
      <c r="D43" s="639">
        <v>100000</v>
      </c>
      <c r="E43" s="675">
        <v>301.20999999999998</v>
      </c>
      <c r="F43" s="675">
        <v>502.02</v>
      </c>
      <c r="H43" s="671"/>
      <c r="I43" s="671"/>
      <c r="J43" s="671"/>
      <c r="K43" s="671"/>
      <c r="L43" s="671"/>
      <c r="M43" s="671"/>
      <c r="N43" s="671"/>
      <c r="O43" s="671"/>
      <c r="P43" s="671"/>
      <c r="Q43" s="671"/>
      <c r="R43" s="671"/>
      <c r="S43" s="671"/>
      <c r="T43" s="671"/>
      <c r="U43" s="671"/>
      <c r="V43" s="671"/>
      <c r="W43" s="671"/>
      <c r="X43" s="671"/>
    </row>
    <row r="44" spans="2:24" x14ac:dyDescent="0.35">
      <c r="B44" s="674">
        <v>65</v>
      </c>
      <c r="C44" s="674" t="s">
        <v>290</v>
      </c>
      <c r="D44" s="639">
        <v>100000</v>
      </c>
      <c r="E44" s="675">
        <v>439.53</v>
      </c>
      <c r="F44" s="675">
        <v>732.55</v>
      </c>
      <c r="H44" s="671"/>
      <c r="I44" s="671"/>
      <c r="J44" s="671"/>
      <c r="K44" s="671"/>
      <c r="L44" s="671"/>
      <c r="M44" s="671"/>
      <c r="N44" s="671"/>
      <c r="O44" s="671"/>
      <c r="P44" s="671"/>
      <c r="Q44" s="671"/>
      <c r="R44" s="671"/>
      <c r="S44" s="671"/>
      <c r="T44" s="671"/>
      <c r="U44" s="671"/>
      <c r="V44" s="671"/>
      <c r="W44" s="671"/>
      <c r="X44" s="671"/>
    </row>
    <row r="45" spans="2:24" x14ac:dyDescent="0.35">
      <c r="B45" s="674">
        <v>18</v>
      </c>
      <c r="C45" s="674" t="s">
        <v>290</v>
      </c>
      <c r="D45" s="639">
        <v>250000</v>
      </c>
      <c r="E45" s="675">
        <v>169.07</v>
      </c>
      <c r="F45" s="675">
        <v>281.77999999999997</v>
      </c>
      <c r="H45" s="671"/>
      <c r="I45" s="671"/>
      <c r="J45" s="671"/>
      <c r="K45" s="671"/>
      <c r="L45" s="671"/>
      <c r="M45" s="671"/>
      <c r="N45" s="671"/>
      <c r="O45" s="671"/>
      <c r="P45" s="671"/>
      <c r="Q45" s="671"/>
      <c r="R45" s="671"/>
      <c r="S45" s="671"/>
      <c r="T45" s="671"/>
      <c r="U45" s="671"/>
      <c r="V45" s="671"/>
      <c r="W45" s="671"/>
      <c r="X45" s="671"/>
    </row>
    <row r="46" spans="2:24" x14ac:dyDescent="0.35">
      <c r="B46" s="674">
        <v>30</v>
      </c>
      <c r="C46" s="674" t="s">
        <v>290</v>
      </c>
      <c r="D46" s="639">
        <v>250000</v>
      </c>
      <c r="E46" s="675">
        <v>169.07</v>
      </c>
      <c r="F46" s="675">
        <v>281.77999999999997</v>
      </c>
      <c r="H46" s="671"/>
      <c r="I46" s="671"/>
      <c r="J46" s="671"/>
      <c r="K46" s="671"/>
      <c r="L46" s="671"/>
      <c r="M46" s="671"/>
      <c r="N46" s="671"/>
      <c r="O46" s="671"/>
      <c r="P46" s="671"/>
      <c r="Q46" s="671"/>
      <c r="R46" s="671"/>
      <c r="S46" s="671"/>
      <c r="T46" s="671"/>
      <c r="U46" s="671"/>
      <c r="V46" s="671"/>
      <c r="W46" s="671"/>
      <c r="X46" s="671"/>
    </row>
    <row r="47" spans="2:24" x14ac:dyDescent="0.35">
      <c r="B47" s="674">
        <v>40</v>
      </c>
      <c r="C47" s="674" t="s">
        <v>290</v>
      </c>
      <c r="D47" s="639">
        <v>250000</v>
      </c>
      <c r="E47" s="675">
        <v>334.66</v>
      </c>
      <c r="F47" s="675">
        <v>557.77</v>
      </c>
      <c r="H47" s="671"/>
      <c r="I47" s="671"/>
      <c r="J47" s="671"/>
      <c r="K47" s="671"/>
      <c r="L47" s="671"/>
      <c r="M47" s="671"/>
      <c r="N47" s="671"/>
      <c r="O47" s="671"/>
      <c r="P47" s="671"/>
      <c r="Q47" s="671"/>
      <c r="R47" s="671"/>
      <c r="S47" s="671"/>
      <c r="T47" s="671"/>
      <c r="U47" s="671"/>
      <c r="V47" s="671"/>
      <c r="W47" s="671"/>
      <c r="X47" s="671"/>
    </row>
    <row r="48" spans="2:24" x14ac:dyDescent="0.35">
      <c r="B48" s="674">
        <v>50</v>
      </c>
      <c r="C48" s="674" t="s">
        <v>290</v>
      </c>
      <c r="D48" s="639">
        <v>250000</v>
      </c>
      <c r="E48" s="675">
        <v>500.26</v>
      </c>
      <c r="F48" s="675">
        <v>833.77</v>
      </c>
      <c r="H48" s="671"/>
      <c r="I48" s="671"/>
      <c r="J48" s="671"/>
      <c r="K48" s="671"/>
      <c r="L48" s="671"/>
      <c r="M48" s="671"/>
      <c r="N48" s="671"/>
      <c r="O48" s="671"/>
      <c r="P48" s="671"/>
      <c r="Q48" s="671"/>
      <c r="R48" s="671"/>
      <c r="S48" s="671"/>
      <c r="T48" s="671"/>
      <c r="U48" s="671"/>
      <c r="V48" s="671"/>
      <c r="W48" s="671"/>
      <c r="X48" s="671"/>
    </row>
    <row r="49" spans="2:24" x14ac:dyDescent="0.35">
      <c r="B49" s="674">
        <v>65</v>
      </c>
      <c r="C49" s="674" t="s">
        <v>290</v>
      </c>
      <c r="D49" s="639">
        <v>250000</v>
      </c>
      <c r="E49" s="675">
        <v>665.86</v>
      </c>
      <c r="F49" s="675">
        <v>1109.77</v>
      </c>
      <c r="H49" s="671"/>
      <c r="I49" s="671"/>
      <c r="J49" s="671"/>
      <c r="K49" s="671"/>
      <c r="L49" s="671"/>
      <c r="M49" s="671"/>
      <c r="N49" s="671"/>
      <c r="O49" s="671"/>
      <c r="P49" s="671"/>
      <c r="Q49" s="671"/>
      <c r="R49" s="671"/>
      <c r="S49" s="671"/>
      <c r="T49" s="671"/>
      <c r="U49" s="671"/>
      <c r="V49" s="671"/>
      <c r="W49" s="671"/>
      <c r="X49" s="671"/>
    </row>
    <row r="50" spans="2:24" x14ac:dyDescent="0.35">
      <c r="B50" s="674">
        <v>18</v>
      </c>
      <c r="C50" s="674" t="s">
        <v>291</v>
      </c>
      <c r="D50" s="639">
        <v>100000</v>
      </c>
      <c r="E50" s="675">
        <v>160.13</v>
      </c>
      <c r="F50" s="675">
        <v>266.88</v>
      </c>
      <c r="H50" s="671"/>
      <c r="I50" s="671"/>
      <c r="J50" s="671"/>
      <c r="K50" s="671"/>
      <c r="L50" s="671"/>
      <c r="M50" s="671"/>
      <c r="N50" s="671"/>
      <c r="O50" s="671"/>
      <c r="P50" s="671"/>
      <c r="Q50" s="671"/>
      <c r="R50" s="671"/>
      <c r="S50" s="671"/>
      <c r="T50" s="671"/>
      <c r="U50" s="671"/>
      <c r="V50" s="671"/>
      <c r="W50" s="671"/>
      <c r="X50" s="671"/>
    </row>
    <row r="51" spans="2:24" x14ac:dyDescent="0.35">
      <c r="B51" s="674">
        <v>30</v>
      </c>
      <c r="C51" s="674" t="s">
        <v>291</v>
      </c>
      <c r="D51" s="639">
        <v>100000</v>
      </c>
      <c r="E51" s="675">
        <v>160.13</v>
      </c>
      <c r="F51" s="675">
        <v>266.88</v>
      </c>
      <c r="H51" s="671"/>
      <c r="I51" s="671"/>
      <c r="J51" s="671"/>
      <c r="K51" s="671"/>
      <c r="L51" s="671"/>
      <c r="M51" s="671"/>
      <c r="N51" s="671"/>
      <c r="O51" s="671"/>
      <c r="P51" s="671"/>
      <c r="Q51" s="671"/>
      <c r="R51" s="671"/>
      <c r="S51" s="671"/>
      <c r="T51" s="671"/>
      <c r="U51" s="671"/>
      <c r="V51" s="671"/>
      <c r="W51" s="671"/>
      <c r="X51" s="671"/>
    </row>
    <row r="52" spans="2:24" x14ac:dyDescent="0.35">
      <c r="B52" s="674">
        <v>40</v>
      </c>
      <c r="C52" s="674" t="s">
        <v>291</v>
      </c>
      <c r="D52" s="639">
        <v>100000</v>
      </c>
      <c r="E52" s="675">
        <v>253.26</v>
      </c>
      <c r="F52" s="675">
        <v>422.1</v>
      </c>
      <c r="H52" s="671"/>
      <c r="I52" s="671"/>
      <c r="J52" s="671"/>
      <c r="K52" s="671"/>
      <c r="L52" s="671"/>
      <c r="M52" s="671"/>
      <c r="N52" s="671"/>
      <c r="O52" s="671"/>
      <c r="P52" s="671"/>
      <c r="Q52" s="671"/>
      <c r="R52" s="671"/>
      <c r="S52" s="671"/>
      <c r="T52" s="671"/>
      <c r="U52" s="671"/>
      <c r="V52" s="671"/>
      <c r="W52" s="671"/>
      <c r="X52" s="671"/>
    </row>
    <row r="53" spans="2:24" x14ac:dyDescent="0.35">
      <c r="B53" s="674">
        <v>50</v>
      </c>
      <c r="C53" s="674" t="s">
        <v>291</v>
      </c>
      <c r="D53" s="639">
        <v>100000</v>
      </c>
      <c r="E53" s="675">
        <v>346.4</v>
      </c>
      <c r="F53" s="675">
        <v>577.33000000000004</v>
      </c>
      <c r="H53" s="671"/>
      <c r="I53" s="671"/>
      <c r="J53" s="671"/>
      <c r="K53" s="671"/>
      <c r="L53" s="671"/>
      <c r="M53" s="671"/>
      <c r="N53" s="671"/>
      <c r="O53" s="671"/>
      <c r="P53" s="671"/>
      <c r="Q53" s="671"/>
      <c r="R53" s="671"/>
      <c r="S53" s="671"/>
      <c r="T53" s="671"/>
      <c r="U53" s="671"/>
      <c r="V53" s="671"/>
      <c r="W53" s="671"/>
      <c r="X53" s="671"/>
    </row>
    <row r="54" spans="2:24" x14ac:dyDescent="0.35">
      <c r="B54" s="674">
        <v>65</v>
      </c>
      <c r="C54" s="674" t="s">
        <v>291</v>
      </c>
      <c r="D54" s="639">
        <v>100000</v>
      </c>
      <c r="E54" s="675">
        <v>349.53</v>
      </c>
      <c r="F54" s="675">
        <v>732.55</v>
      </c>
      <c r="H54" s="671"/>
      <c r="I54" s="671"/>
      <c r="J54" s="671"/>
      <c r="K54" s="671"/>
      <c r="L54" s="671"/>
      <c r="M54" s="671"/>
      <c r="N54" s="671"/>
      <c r="O54" s="671"/>
      <c r="P54" s="671"/>
      <c r="Q54" s="671"/>
      <c r="R54" s="671"/>
      <c r="S54" s="671"/>
      <c r="T54" s="671"/>
      <c r="U54" s="671"/>
      <c r="V54" s="671"/>
      <c r="W54" s="671"/>
      <c r="X54" s="671"/>
    </row>
    <row r="55" spans="2:24" x14ac:dyDescent="0.35">
      <c r="B55" s="674">
        <v>18</v>
      </c>
      <c r="C55" s="674" t="s">
        <v>291</v>
      </c>
      <c r="D55" s="639">
        <v>250000</v>
      </c>
      <c r="E55" s="675">
        <v>194.42</v>
      </c>
      <c r="F55" s="675">
        <v>324.04000000000002</v>
      </c>
      <c r="H55" s="671"/>
      <c r="I55" s="671"/>
      <c r="J55" s="671"/>
      <c r="K55" s="671"/>
      <c r="L55" s="671"/>
      <c r="M55" s="671"/>
      <c r="N55" s="671"/>
      <c r="O55" s="671"/>
      <c r="P55" s="671"/>
      <c r="Q55" s="671"/>
      <c r="R55" s="671"/>
      <c r="S55" s="671"/>
      <c r="T55" s="671"/>
      <c r="U55" s="671"/>
      <c r="V55" s="671"/>
      <c r="W55" s="671"/>
      <c r="X55" s="671"/>
    </row>
    <row r="56" spans="2:24" x14ac:dyDescent="0.35">
      <c r="B56" s="674">
        <v>30</v>
      </c>
      <c r="C56" s="674" t="s">
        <v>291</v>
      </c>
      <c r="D56" s="639">
        <v>250000</v>
      </c>
      <c r="E56" s="675">
        <v>194.42</v>
      </c>
      <c r="F56" s="675">
        <v>324.04000000000002</v>
      </c>
      <c r="H56" s="671"/>
      <c r="I56" s="671"/>
      <c r="J56" s="671"/>
      <c r="K56" s="671"/>
      <c r="L56" s="671"/>
      <c r="M56" s="671"/>
      <c r="N56" s="671"/>
      <c r="O56" s="671"/>
      <c r="P56" s="671"/>
      <c r="Q56" s="671"/>
      <c r="R56" s="671"/>
      <c r="S56" s="671"/>
      <c r="T56" s="671"/>
      <c r="U56" s="671"/>
      <c r="V56" s="671"/>
      <c r="W56" s="671"/>
      <c r="X56" s="671"/>
    </row>
    <row r="57" spans="2:24" x14ac:dyDescent="0.35">
      <c r="B57" s="674">
        <v>40</v>
      </c>
      <c r="C57" s="674" t="s">
        <v>291</v>
      </c>
      <c r="D57" s="639">
        <v>250000</v>
      </c>
      <c r="E57" s="675">
        <v>384.86</v>
      </c>
      <c r="F57" s="675">
        <v>641.44000000000005</v>
      </c>
      <c r="H57" s="671"/>
      <c r="I57" s="671"/>
      <c r="J57" s="671"/>
      <c r="K57" s="671"/>
      <c r="L57" s="671"/>
      <c r="M57" s="671"/>
      <c r="N57" s="671"/>
      <c r="O57" s="671"/>
      <c r="P57" s="671"/>
      <c r="Q57" s="671"/>
      <c r="R57" s="671"/>
      <c r="S57" s="671"/>
      <c r="T57" s="671"/>
      <c r="U57" s="671"/>
      <c r="V57" s="671"/>
      <c r="W57" s="671"/>
      <c r="X57" s="671"/>
    </row>
    <row r="58" spans="2:24" x14ac:dyDescent="0.35">
      <c r="B58" s="674">
        <v>50</v>
      </c>
      <c r="C58" s="674" t="s">
        <v>291</v>
      </c>
      <c r="D58" s="639">
        <v>250000</v>
      </c>
      <c r="E58" s="675">
        <v>575.29999999999995</v>
      </c>
      <c r="F58" s="675">
        <v>958.83</v>
      </c>
      <c r="H58" s="671"/>
      <c r="I58" s="671"/>
      <c r="J58" s="671"/>
      <c r="K58" s="671"/>
      <c r="L58" s="671"/>
      <c r="M58" s="671"/>
      <c r="N58" s="671"/>
      <c r="O58" s="671"/>
      <c r="P58" s="671"/>
      <c r="Q58" s="671"/>
      <c r="R58" s="671"/>
      <c r="S58" s="671"/>
      <c r="T58" s="671"/>
      <c r="U58" s="671"/>
      <c r="V58" s="671"/>
      <c r="W58" s="671"/>
      <c r="X58" s="671"/>
    </row>
    <row r="59" spans="2:24" x14ac:dyDescent="0.35">
      <c r="B59" s="674">
        <v>65</v>
      </c>
      <c r="C59" s="674" t="s">
        <v>291</v>
      </c>
      <c r="D59" s="639">
        <v>250000</v>
      </c>
      <c r="E59" s="675">
        <v>765.74</v>
      </c>
      <c r="F59" s="675">
        <v>1276.23</v>
      </c>
      <c r="H59" s="671"/>
      <c r="I59" s="671"/>
      <c r="J59" s="671"/>
      <c r="K59" s="671"/>
      <c r="L59" s="671"/>
      <c r="M59" s="671"/>
      <c r="N59" s="671"/>
      <c r="O59" s="671"/>
      <c r="P59" s="671"/>
      <c r="Q59" s="671"/>
      <c r="R59" s="671"/>
      <c r="S59" s="671"/>
      <c r="T59" s="671"/>
      <c r="U59" s="671"/>
      <c r="V59" s="671"/>
      <c r="W59" s="671"/>
      <c r="X59" s="671"/>
    </row>
    <row r="60" spans="2:24" x14ac:dyDescent="0.35">
      <c r="H60" s="671"/>
      <c r="I60" s="671"/>
      <c r="J60" s="671"/>
      <c r="K60" s="671"/>
      <c r="L60" s="671"/>
      <c r="M60" s="671"/>
      <c r="N60" s="671"/>
      <c r="O60" s="671"/>
      <c r="P60" s="671"/>
      <c r="Q60" s="671"/>
      <c r="R60" s="671"/>
      <c r="S60" s="671"/>
      <c r="T60" s="671"/>
      <c r="U60" s="671"/>
      <c r="V60" s="671"/>
      <c r="W60" s="671"/>
      <c r="X60" s="671"/>
    </row>
    <row r="61" spans="2:24" x14ac:dyDescent="0.35">
      <c r="H61" s="671"/>
      <c r="I61" s="671"/>
      <c r="J61" s="671"/>
      <c r="K61" s="671"/>
      <c r="L61" s="671"/>
      <c r="M61" s="671"/>
      <c r="N61" s="671"/>
      <c r="O61" s="671"/>
      <c r="P61" s="671"/>
      <c r="Q61" s="671"/>
      <c r="R61" s="671"/>
      <c r="S61" s="671"/>
      <c r="T61" s="671"/>
      <c r="U61" s="671"/>
      <c r="V61" s="671"/>
      <c r="W61" s="671"/>
      <c r="X61" s="671"/>
    </row>
    <row r="62" spans="2:24" x14ac:dyDescent="0.35">
      <c r="H62" s="671"/>
      <c r="I62" s="671"/>
      <c r="J62" s="671"/>
      <c r="K62" s="671"/>
      <c r="L62" s="671"/>
      <c r="M62" s="671"/>
      <c r="N62" s="671"/>
      <c r="O62" s="671"/>
      <c r="P62" s="671"/>
      <c r="Q62" s="671"/>
      <c r="R62" s="671"/>
      <c r="S62" s="671"/>
      <c r="T62" s="671"/>
      <c r="U62" s="671"/>
      <c r="V62" s="671"/>
      <c r="W62" s="671"/>
      <c r="X62" s="671"/>
    </row>
    <row r="63" spans="2:24" x14ac:dyDescent="0.35">
      <c r="H63" s="671"/>
      <c r="I63" s="671"/>
      <c r="J63" s="671"/>
      <c r="K63" s="671"/>
      <c r="L63" s="671"/>
      <c r="M63" s="671"/>
      <c r="N63" s="671"/>
      <c r="O63" s="671"/>
      <c r="P63" s="671"/>
      <c r="Q63" s="671"/>
      <c r="R63" s="671"/>
      <c r="S63" s="671"/>
      <c r="T63" s="671"/>
      <c r="U63" s="671"/>
      <c r="V63" s="671"/>
      <c r="W63" s="671"/>
      <c r="X63" s="671"/>
    </row>
    <row r="64" spans="2:24" x14ac:dyDescent="0.35">
      <c r="H64" s="671"/>
      <c r="I64" s="671"/>
      <c r="J64" s="671"/>
      <c r="K64" s="671"/>
      <c r="L64" s="671"/>
      <c r="M64" s="671"/>
      <c r="N64" s="671"/>
      <c r="O64" s="671"/>
      <c r="P64" s="671"/>
      <c r="Q64" s="671"/>
      <c r="R64" s="671"/>
      <c r="S64" s="671"/>
      <c r="T64" s="671"/>
      <c r="U64" s="671"/>
      <c r="V64" s="671"/>
      <c r="W64" s="671"/>
      <c r="X64" s="671"/>
    </row>
    <row r="65" spans="8:24" x14ac:dyDescent="0.35">
      <c r="H65" s="671"/>
      <c r="I65" s="671"/>
      <c r="J65" s="671"/>
      <c r="K65" s="671"/>
      <c r="L65" s="671"/>
      <c r="M65" s="671"/>
      <c r="N65" s="671"/>
      <c r="O65" s="671"/>
      <c r="P65" s="671"/>
      <c r="Q65" s="671"/>
      <c r="R65" s="671"/>
      <c r="S65" s="671"/>
      <c r="T65" s="671"/>
      <c r="U65" s="671"/>
      <c r="V65" s="671"/>
      <c r="W65" s="671"/>
      <c r="X65" s="671"/>
    </row>
    <row r="66" spans="8:24" x14ac:dyDescent="0.35">
      <c r="H66" s="671"/>
      <c r="I66" s="671"/>
      <c r="J66" s="671"/>
      <c r="K66" s="671"/>
      <c r="L66" s="671"/>
      <c r="M66" s="671"/>
      <c r="N66" s="671"/>
      <c r="O66" s="671"/>
      <c r="P66" s="671"/>
      <c r="Q66" s="671"/>
      <c r="R66" s="671"/>
      <c r="S66" s="671"/>
      <c r="T66" s="671"/>
      <c r="U66" s="671"/>
      <c r="V66" s="671"/>
      <c r="W66" s="671"/>
      <c r="X66" s="671"/>
    </row>
    <row r="67" spans="8:24" x14ac:dyDescent="0.35">
      <c r="H67" s="671"/>
      <c r="I67" s="671"/>
      <c r="J67" s="671"/>
      <c r="K67" s="671"/>
      <c r="L67" s="671"/>
      <c r="M67" s="671"/>
      <c r="N67" s="671"/>
      <c r="O67" s="671"/>
      <c r="P67" s="671"/>
      <c r="Q67" s="671"/>
      <c r="R67" s="671"/>
      <c r="S67" s="671"/>
      <c r="T67" s="671"/>
      <c r="U67" s="671"/>
      <c r="V67" s="671"/>
      <c r="W67" s="671"/>
      <c r="X67" s="671"/>
    </row>
    <row r="68" spans="8:24" x14ac:dyDescent="0.35">
      <c r="H68" s="671"/>
      <c r="I68" s="671"/>
      <c r="J68" s="671"/>
      <c r="K68" s="671"/>
      <c r="L68" s="671"/>
      <c r="M68" s="671"/>
      <c r="N68" s="671"/>
      <c r="O68" s="671"/>
      <c r="P68" s="671"/>
      <c r="Q68" s="671"/>
      <c r="R68" s="671"/>
      <c r="S68" s="671"/>
      <c r="T68" s="671"/>
      <c r="U68" s="671"/>
      <c r="V68" s="671"/>
      <c r="W68" s="671"/>
      <c r="X68" s="671"/>
    </row>
    <row r="69" spans="8:24" x14ac:dyDescent="0.35">
      <c r="H69" s="671"/>
      <c r="I69" s="671"/>
      <c r="J69" s="671"/>
      <c r="K69" s="671"/>
      <c r="L69" s="671"/>
      <c r="M69" s="671"/>
      <c r="N69" s="671"/>
      <c r="O69" s="671"/>
      <c r="P69" s="671"/>
      <c r="Q69" s="671"/>
      <c r="R69" s="671"/>
      <c r="S69" s="671"/>
      <c r="T69" s="671"/>
      <c r="U69" s="671"/>
      <c r="V69" s="671"/>
      <c r="W69" s="671"/>
      <c r="X69" s="671"/>
    </row>
    <row r="70" spans="8:24" x14ac:dyDescent="0.35">
      <c r="H70" s="671"/>
      <c r="I70" s="671"/>
      <c r="J70" s="671"/>
      <c r="K70" s="671"/>
      <c r="L70" s="671"/>
      <c r="M70" s="671"/>
      <c r="N70" s="671"/>
      <c r="O70" s="671"/>
      <c r="P70" s="671"/>
      <c r="Q70" s="671"/>
      <c r="R70" s="671"/>
      <c r="S70" s="671"/>
      <c r="T70" s="671"/>
      <c r="U70" s="671"/>
      <c r="V70" s="671"/>
      <c r="W70" s="671"/>
      <c r="X70" s="671"/>
    </row>
    <row r="71" spans="8:24" x14ac:dyDescent="0.35">
      <c r="H71" s="671"/>
      <c r="I71" s="671"/>
      <c r="J71" s="671"/>
      <c r="K71" s="671"/>
      <c r="L71" s="671"/>
      <c r="M71" s="671"/>
      <c r="N71" s="671"/>
      <c r="O71" s="671"/>
      <c r="P71" s="671"/>
      <c r="Q71" s="671"/>
      <c r="R71" s="671"/>
      <c r="S71" s="671"/>
      <c r="T71" s="671"/>
      <c r="U71" s="671"/>
      <c r="V71" s="671"/>
      <c r="W71" s="671"/>
      <c r="X71" s="671"/>
    </row>
    <row r="72" spans="8:24" x14ac:dyDescent="0.35">
      <c r="H72" s="671"/>
      <c r="I72" s="671"/>
      <c r="J72" s="671"/>
      <c r="K72" s="671"/>
      <c r="L72" s="671"/>
      <c r="M72" s="671"/>
      <c r="N72" s="671"/>
      <c r="O72" s="671"/>
      <c r="P72" s="671"/>
      <c r="Q72" s="671"/>
      <c r="R72" s="671"/>
      <c r="S72" s="671"/>
      <c r="T72" s="671"/>
      <c r="U72" s="671"/>
      <c r="V72" s="671"/>
      <c r="W72" s="671"/>
      <c r="X72" s="671"/>
    </row>
    <row r="73" spans="8:24" x14ac:dyDescent="0.35">
      <c r="H73" s="671"/>
      <c r="I73" s="671"/>
      <c r="J73" s="671"/>
      <c r="K73" s="671"/>
      <c r="L73" s="671"/>
      <c r="M73" s="671"/>
      <c r="N73" s="671"/>
      <c r="O73" s="671"/>
      <c r="P73" s="671"/>
      <c r="Q73" s="671"/>
      <c r="R73" s="671"/>
      <c r="S73" s="671"/>
      <c r="T73" s="671"/>
      <c r="U73" s="671"/>
      <c r="V73" s="671"/>
      <c r="W73" s="671"/>
      <c r="X73" s="671"/>
    </row>
    <row r="74" spans="8:24" x14ac:dyDescent="0.35">
      <c r="H74" s="671"/>
      <c r="I74" s="671"/>
      <c r="J74" s="671"/>
      <c r="K74" s="671"/>
      <c r="L74" s="671"/>
      <c r="M74" s="671"/>
      <c r="N74" s="671"/>
      <c r="O74" s="671"/>
      <c r="P74" s="671"/>
      <c r="Q74" s="671"/>
      <c r="R74" s="671"/>
      <c r="S74" s="671"/>
      <c r="T74" s="671"/>
      <c r="U74" s="671"/>
      <c r="V74" s="671"/>
      <c r="W74" s="671"/>
      <c r="X74" s="671"/>
    </row>
    <row r="75" spans="8:24" x14ac:dyDescent="0.35">
      <c r="H75" s="671"/>
      <c r="I75" s="671"/>
      <c r="J75" s="671"/>
      <c r="K75" s="671"/>
      <c r="L75" s="671"/>
      <c r="M75" s="671"/>
      <c r="N75" s="671"/>
      <c r="O75" s="671"/>
      <c r="P75" s="671"/>
      <c r="Q75" s="671"/>
      <c r="R75" s="671"/>
      <c r="S75" s="671"/>
      <c r="T75" s="671"/>
      <c r="U75" s="671"/>
      <c r="V75" s="671"/>
      <c r="W75" s="671"/>
      <c r="X75" s="671"/>
    </row>
    <row r="76" spans="8:24" x14ac:dyDescent="0.35">
      <c r="H76" s="671"/>
      <c r="I76" s="671"/>
      <c r="J76" s="671"/>
      <c r="K76" s="671"/>
      <c r="L76" s="671"/>
      <c r="M76" s="671"/>
      <c r="N76" s="671"/>
      <c r="O76" s="671"/>
      <c r="P76" s="671"/>
      <c r="Q76" s="671"/>
      <c r="R76" s="671"/>
      <c r="S76" s="671"/>
      <c r="T76" s="671"/>
      <c r="U76" s="671"/>
      <c r="V76" s="671"/>
      <c r="W76" s="671"/>
      <c r="X76" s="671"/>
    </row>
    <row r="77" spans="8:24" x14ac:dyDescent="0.35">
      <c r="H77" s="671"/>
      <c r="I77" s="671"/>
      <c r="J77" s="671"/>
      <c r="K77" s="671"/>
      <c r="L77" s="671"/>
      <c r="M77" s="671"/>
      <c r="N77" s="671"/>
      <c r="O77" s="671"/>
      <c r="P77" s="671"/>
      <c r="Q77" s="671"/>
      <c r="R77" s="671"/>
      <c r="S77" s="671"/>
      <c r="T77" s="671"/>
      <c r="U77" s="671"/>
      <c r="V77" s="671"/>
      <c r="W77" s="671"/>
      <c r="X77" s="671"/>
    </row>
    <row r="78" spans="8:24" x14ac:dyDescent="0.35">
      <c r="H78" s="671"/>
      <c r="I78" s="671"/>
      <c r="J78" s="671"/>
      <c r="K78" s="671"/>
      <c r="L78" s="671"/>
      <c r="M78" s="671"/>
      <c r="N78" s="671"/>
      <c r="O78" s="671"/>
      <c r="P78" s="671"/>
      <c r="Q78" s="671"/>
      <c r="R78" s="671"/>
      <c r="S78" s="671"/>
      <c r="T78" s="671"/>
      <c r="U78" s="671"/>
      <c r="V78" s="671"/>
      <c r="W78" s="671"/>
      <c r="X78" s="671"/>
    </row>
    <row r="79" spans="8:24" x14ac:dyDescent="0.35">
      <c r="H79" s="671"/>
      <c r="I79" s="671"/>
      <c r="J79" s="671"/>
      <c r="K79" s="671"/>
      <c r="L79" s="671"/>
      <c r="M79" s="671"/>
      <c r="N79" s="671"/>
      <c r="O79" s="671"/>
      <c r="P79" s="671"/>
      <c r="Q79" s="671"/>
      <c r="R79" s="671"/>
      <c r="S79" s="671"/>
      <c r="T79" s="671"/>
      <c r="U79" s="671"/>
      <c r="V79" s="671"/>
      <c r="W79" s="671"/>
      <c r="X79" s="671"/>
    </row>
    <row r="80" spans="8:24" x14ac:dyDescent="0.35">
      <c r="H80" s="671"/>
      <c r="I80" s="671"/>
      <c r="J80" s="671"/>
      <c r="K80" s="671"/>
      <c r="L80" s="671"/>
      <c r="M80" s="671"/>
      <c r="N80" s="671"/>
      <c r="O80" s="671"/>
      <c r="P80" s="671"/>
      <c r="Q80" s="671"/>
      <c r="R80" s="671"/>
      <c r="S80" s="671"/>
      <c r="T80" s="671"/>
      <c r="U80" s="671"/>
      <c r="V80" s="671"/>
      <c r="W80" s="671"/>
      <c r="X80" s="671"/>
    </row>
    <row r="81" spans="8:24" x14ac:dyDescent="0.35">
      <c r="H81" s="671"/>
      <c r="I81" s="671"/>
      <c r="J81" s="671"/>
      <c r="K81" s="671"/>
      <c r="L81" s="671"/>
      <c r="M81" s="671"/>
      <c r="N81" s="671"/>
      <c r="O81" s="671"/>
      <c r="P81" s="671"/>
      <c r="Q81" s="671"/>
      <c r="R81" s="671"/>
      <c r="S81" s="671"/>
      <c r="T81" s="671"/>
      <c r="U81" s="671"/>
      <c r="V81" s="671"/>
      <c r="W81" s="671"/>
      <c r="X81" s="671"/>
    </row>
    <row r="82" spans="8:24" x14ac:dyDescent="0.35">
      <c r="H82" s="671"/>
      <c r="I82" s="671"/>
      <c r="J82" s="671"/>
      <c r="K82" s="671"/>
      <c r="L82" s="671"/>
      <c r="M82" s="671"/>
      <c r="N82" s="671"/>
      <c r="O82" s="671"/>
      <c r="P82" s="671"/>
      <c r="Q82" s="671"/>
      <c r="R82" s="671"/>
      <c r="S82" s="671"/>
      <c r="T82" s="671"/>
      <c r="U82" s="671"/>
      <c r="V82" s="671"/>
      <c r="W82" s="671"/>
      <c r="X82" s="671"/>
    </row>
    <row r="83" spans="8:24" x14ac:dyDescent="0.35">
      <c r="H83" s="671"/>
      <c r="I83" s="671"/>
      <c r="J83" s="671"/>
      <c r="K83" s="671"/>
      <c r="L83" s="671"/>
      <c r="M83" s="671"/>
      <c r="N83" s="671"/>
      <c r="O83" s="671"/>
      <c r="P83" s="671"/>
      <c r="Q83" s="671"/>
      <c r="R83" s="671"/>
      <c r="S83" s="671"/>
      <c r="T83" s="671"/>
      <c r="U83" s="671"/>
      <c r="V83" s="671"/>
      <c r="W83" s="671"/>
      <c r="X83" s="671"/>
    </row>
    <row r="84" spans="8:24" x14ac:dyDescent="0.35">
      <c r="H84" s="671"/>
      <c r="I84" s="671"/>
      <c r="J84" s="671"/>
      <c r="K84" s="671"/>
      <c r="L84" s="671"/>
      <c r="M84" s="671"/>
      <c r="N84" s="671"/>
      <c r="O84" s="671"/>
      <c r="P84" s="671"/>
      <c r="Q84" s="671"/>
      <c r="R84" s="671"/>
      <c r="S84" s="671"/>
      <c r="T84" s="671"/>
      <c r="U84" s="671"/>
      <c r="V84" s="671"/>
      <c r="W84" s="671"/>
      <c r="X84" s="671"/>
    </row>
    <row r="85" spans="8:24" x14ac:dyDescent="0.35">
      <c r="H85" s="671"/>
      <c r="I85" s="671"/>
      <c r="J85" s="671"/>
      <c r="K85" s="671"/>
      <c r="L85" s="671"/>
      <c r="M85" s="671"/>
      <c r="N85" s="671"/>
      <c r="O85" s="671"/>
      <c r="P85" s="671"/>
      <c r="Q85" s="671"/>
      <c r="R85" s="671"/>
      <c r="S85" s="671"/>
      <c r="T85" s="671"/>
      <c r="U85" s="671"/>
      <c r="V85" s="671"/>
      <c r="W85" s="671"/>
      <c r="X85" s="671"/>
    </row>
    <row r="86" spans="8:24" x14ac:dyDescent="0.35">
      <c r="H86" s="671"/>
      <c r="I86" s="671"/>
      <c r="J86" s="671"/>
      <c r="K86" s="671"/>
      <c r="L86" s="671"/>
      <c r="M86" s="671"/>
      <c r="N86" s="671"/>
      <c r="O86" s="671"/>
      <c r="P86" s="671"/>
      <c r="Q86" s="671"/>
      <c r="R86" s="671"/>
      <c r="S86" s="671"/>
      <c r="T86" s="671"/>
      <c r="U86" s="671"/>
      <c r="V86" s="671"/>
      <c r="W86" s="671"/>
      <c r="X86" s="671"/>
    </row>
    <row r="87" spans="8:24" x14ac:dyDescent="0.35">
      <c r="H87" s="671"/>
      <c r="I87" s="671"/>
      <c r="J87" s="671"/>
      <c r="K87" s="671"/>
      <c r="L87" s="671"/>
      <c r="M87" s="671"/>
      <c r="N87" s="671"/>
      <c r="O87" s="671"/>
      <c r="P87" s="671"/>
      <c r="Q87" s="671"/>
      <c r="R87" s="671"/>
      <c r="S87" s="671"/>
      <c r="T87" s="671"/>
      <c r="U87" s="671"/>
      <c r="V87" s="671"/>
      <c r="W87" s="671"/>
      <c r="X87" s="671"/>
    </row>
    <row r="88" spans="8:24" x14ac:dyDescent="0.35">
      <c r="H88" s="671"/>
      <c r="I88" s="671"/>
      <c r="J88" s="671"/>
      <c r="K88" s="671"/>
      <c r="L88" s="671"/>
      <c r="M88" s="671"/>
      <c r="N88" s="671"/>
      <c r="O88" s="671"/>
      <c r="P88" s="671"/>
      <c r="Q88" s="671"/>
      <c r="R88" s="671"/>
      <c r="S88" s="671"/>
      <c r="T88" s="671"/>
      <c r="U88" s="671"/>
      <c r="V88" s="671"/>
      <c r="W88" s="671"/>
      <c r="X88" s="671"/>
    </row>
    <row r="89" spans="8:24" x14ac:dyDescent="0.35">
      <c r="H89" s="671"/>
      <c r="I89" s="671"/>
      <c r="J89" s="671"/>
      <c r="K89" s="671"/>
      <c r="L89" s="671"/>
      <c r="M89" s="671"/>
      <c r="N89" s="671"/>
      <c r="O89" s="671"/>
      <c r="P89" s="671"/>
      <c r="Q89" s="671"/>
      <c r="R89" s="671"/>
      <c r="S89" s="671"/>
      <c r="T89" s="671"/>
      <c r="U89" s="671"/>
      <c r="V89" s="671"/>
      <c r="W89" s="671"/>
      <c r="X89" s="671"/>
    </row>
    <row r="90" spans="8:24" x14ac:dyDescent="0.35">
      <c r="H90" s="671"/>
      <c r="I90" s="671"/>
      <c r="J90" s="671"/>
      <c r="K90" s="671"/>
      <c r="L90" s="671"/>
      <c r="M90" s="671"/>
      <c r="N90" s="671"/>
      <c r="O90" s="671"/>
      <c r="P90" s="671"/>
      <c r="Q90" s="671"/>
      <c r="R90" s="671"/>
      <c r="S90" s="671"/>
      <c r="T90" s="671"/>
      <c r="U90" s="671"/>
      <c r="V90" s="671"/>
      <c r="W90" s="671"/>
      <c r="X90" s="671"/>
    </row>
    <row r="91" spans="8:24" x14ac:dyDescent="0.35">
      <c r="H91" s="671"/>
      <c r="I91" s="671"/>
      <c r="J91" s="671"/>
      <c r="K91" s="671"/>
      <c r="L91" s="671"/>
      <c r="M91" s="671"/>
      <c r="N91" s="671"/>
      <c r="O91" s="671"/>
      <c r="P91" s="671"/>
      <c r="Q91" s="671"/>
      <c r="R91" s="671"/>
      <c r="S91" s="671"/>
      <c r="T91" s="671"/>
      <c r="U91" s="671"/>
      <c r="V91" s="671"/>
      <c r="W91" s="671"/>
      <c r="X91" s="671"/>
    </row>
    <row r="92" spans="8:24" x14ac:dyDescent="0.35">
      <c r="H92" s="671"/>
      <c r="I92" s="671"/>
      <c r="J92" s="671"/>
      <c r="K92" s="671"/>
      <c r="L92" s="671"/>
      <c r="M92" s="671"/>
      <c r="N92" s="671"/>
      <c r="O92" s="671"/>
      <c r="P92" s="671"/>
      <c r="Q92" s="671"/>
      <c r="R92" s="671"/>
      <c r="S92" s="671"/>
      <c r="T92" s="671"/>
      <c r="U92" s="671"/>
      <c r="V92" s="671"/>
      <c r="W92" s="671"/>
      <c r="X92" s="671"/>
    </row>
    <row r="93" spans="8:24" x14ac:dyDescent="0.35">
      <c r="H93" s="671"/>
      <c r="I93" s="671"/>
      <c r="J93" s="671"/>
      <c r="K93" s="671"/>
      <c r="L93" s="671"/>
      <c r="M93" s="671"/>
      <c r="N93" s="671"/>
      <c r="O93" s="671"/>
      <c r="P93" s="671"/>
      <c r="Q93" s="671"/>
      <c r="R93" s="671"/>
      <c r="S93" s="671"/>
      <c r="T93" s="671"/>
      <c r="U93" s="671"/>
      <c r="V93" s="671"/>
      <c r="W93" s="671"/>
      <c r="X93" s="671"/>
    </row>
    <row r="94" spans="8:24" x14ac:dyDescent="0.35">
      <c r="H94" s="671"/>
      <c r="I94" s="671"/>
      <c r="J94" s="671"/>
      <c r="K94" s="671"/>
      <c r="L94" s="671"/>
      <c r="M94" s="671"/>
      <c r="N94" s="671"/>
      <c r="O94" s="671"/>
      <c r="P94" s="671"/>
      <c r="Q94" s="671"/>
      <c r="R94" s="671"/>
      <c r="S94" s="671"/>
      <c r="T94" s="671"/>
      <c r="U94" s="671"/>
      <c r="V94" s="671"/>
      <c r="W94" s="671"/>
      <c r="X94" s="671"/>
    </row>
    <row r="95" spans="8:24" x14ac:dyDescent="0.35">
      <c r="H95" s="671"/>
      <c r="I95" s="671"/>
      <c r="J95" s="671"/>
      <c r="K95" s="671"/>
      <c r="L95" s="671"/>
      <c r="M95" s="671"/>
      <c r="N95" s="671"/>
      <c r="O95" s="671"/>
      <c r="P95" s="671"/>
      <c r="Q95" s="671"/>
      <c r="R95" s="671"/>
      <c r="S95" s="671"/>
      <c r="T95" s="671"/>
      <c r="U95" s="671"/>
      <c r="V95" s="671"/>
      <c r="W95" s="671"/>
      <c r="X95" s="671"/>
    </row>
    <row r="96" spans="8:24" x14ac:dyDescent="0.35">
      <c r="H96" s="671"/>
      <c r="I96" s="671"/>
      <c r="J96" s="671"/>
      <c r="K96" s="671"/>
      <c r="L96" s="671"/>
      <c r="M96" s="671"/>
      <c r="N96" s="671"/>
      <c r="O96" s="671"/>
      <c r="P96" s="671"/>
      <c r="Q96" s="671"/>
      <c r="R96" s="671"/>
      <c r="S96" s="671"/>
      <c r="T96" s="671"/>
      <c r="U96" s="671"/>
      <c r="V96" s="671"/>
      <c r="W96" s="671"/>
      <c r="X96" s="671"/>
    </row>
    <row r="97" spans="8:24" x14ac:dyDescent="0.35">
      <c r="H97" s="671"/>
      <c r="I97" s="671"/>
      <c r="J97" s="671"/>
      <c r="K97" s="671"/>
      <c r="L97" s="671"/>
      <c r="M97" s="671"/>
      <c r="N97" s="671"/>
      <c r="O97" s="671"/>
      <c r="P97" s="671"/>
      <c r="Q97" s="671"/>
      <c r="R97" s="671"/>
      <c r="S97" s="671"/>
      <c r="T97" s="671"/>
      <c r="U97" s="671"/>
      <c r="V97" s="671"/>
      <c r="W97" s="671"/>
      <c r="X97" s="671"/>
    </row>
    <row r="98" spans="8:24" x14ac:dyDescent="0.35">
      <c r="H98" s="671"/>
      <c r="I98" s="671"/>
      <c r="J98" s="671"/>
      <c r="K98" s="671"/>
      <c r="L98" s="671"/>
      <c r="M98" s="671"/>
      <c r="N98" s="671"/>
      <c r="O98" s="671"/>
      <c r="P98" s="671"/>
      <c r="Q98" s="671"/>
      <c r="R98" s="671"/>
      <c r="S98" s="671"/>
      <c r="T98" s="671"/>
      <c r="U98" s="671"/>
      <c r="V98" s="671"/>
      <c r="W98" s="671"/>
      <c r="X98" s="671"/>
    </row>
    <row r="99" spans="8:24" x14ac:dyDescent="0.35">
      <c r="H99" s="671"/>
      <c r="I99" s="671"/>
      <c r="J99" s="671"/>
      <c r="K99" s="671"/>
      <c r="L99" s="671"/>
      <c r="M99" s="671"/>
      <c r="N99" s="671"/>
      <c r="O99" s="671"/>
      <c r="P99" s="671"/>
      <c r="Q99" s="671"/>
      <c r="R99" s="671"/>
      <c r="S99" s="671"/>
      <c r="T99" s="671"/>
      <c r="U99" s="671"/>
      <c r="V99" s="671"/>
      <c r="W99" s="671"/>
      <c r="X99" s="671"/>
    </row>
    <row r="100" spans="8:24" x14ac:dyDescent="0.35">
      <c r="H100" s="671"/>
      <c r="I100" s="671"/>
      <c r="J100" s="671"/>
      <c r="K100" s="671"/>
      <c r="L100" s="671"/>
      <c r="M100" s="671"/>
      <c r="N100" s="671"/>
      <c r="O100" s="671"/>
      <c r="P100" s="671"/>
      <c r="Q100" s="671"/>
      <c r="R100" s="671"/>
      <c r="S100" s="671"/>
      <c r="T100" s="671"/>
      <c r="U100" s="671"/>
      <c r="V100" s="671"/>
      <c r="W100" s="671"/>
      <c r="X100" s="671"/>
    </row>
    <row r="101" spans="8:24" x14ac:dyDescent="0.35">
      <c r="H101" s="671"/>
      <c r="I101" s="671"/>
      <c r="J101" s="671"/>
      <c r="K101" s="671"/>
      <c r="L101" s="671"/>
      <c r="M101" s="671"/>
      <c r="N101" s="671"/>
      <c r="O101" s="671"/>
      <c r="P101" s="671"/>
      <c r="Q101" s="671"/>
      <c r="R101" s="671"/>
      <c r="S101" s="671"/>
      <c r="T101" s="671"/>
      <c r="U101" s="671"/>
      <c r="V101" s="671"/>
      <c r="W101" s="671"/>
      <c r="X101" s="671"/>
    </row>
    <row r="102" spans="8:24" x14ac:dyDescent="0.35">
      <c r="H102" s="671"/>
      <c r="I102" s="671"/>
      <c r="J102" s="671"/>
      <c r="K102" s="671"/>
      <c r="L102" s="671"/>
      <c r="M102" s="671"/>
      <c r="N102" s="671"/>
      <c r="O102" s="671"/>
      <c r="P102" s="671"/>
      <c r="Q102" s="671"/>
      <c r="R102" s="671"/>
      <c r="S102" s="671"/>
      <c r="T102" s="671"/>
      <c r="U102" s="671"/>
      <c r="V102" s="671"/>
      <c r="W102" s="671"/>
      <c r="X102" s="671"/>
    </row>
    <row r="103" spans="8:24" x14ac:dyDescent="0.35">
      <c r="H103" s="671"/>
      <c r="I103" s="671"/>
      <c r="J103" s="671"/>
      <c r="K103" s="671"/>
      <c r="L103" s="671"/>
      <c r="M103" s="671"/>
      <c r="N103" s="671"/>
      <c r="O103" s="671"/>
      <c r="P103" s="671"/>
      <c r="Q103" s="671"/>
      <c r="R103" s="671"/>
      <c r="S103" s="671"/>
      <c r="T103" s="671"/>
      <c r="U103" s="671"/>
      <c r="V103" s="671"/>
      <c r="W103" s="671"/>
      <c r="X103" s="671"/>
    </row>
    <row r="104" spans="8:24" x14ac:dyDescent="0.35">
      <c r="H104" s="671"/>
      <c r="I104" s="671"/>
      <c r="J104" s="671"/>
      <c r="K104" s="671"/>
      <c r="L104" s="671"/>
      <c r="M104" s="671"/>
      <c r="N104" s="671"/>
      <c r="O104" s="671"/>
      <c r="P104" s="671"/>
      <c r="Q104" s="671"/>
      <c r="R104" s="671"/>
      <c r="S104" s="671"/>
      <c r="T104" s="671"/>
      <c r="U104" s="671"/>
      <c r="V104" s="671"/>
      <c r="W104" s="671"/>
      <c r="X104" s="671"/>
    </row>
    <row r="105" spans="8:24" x14ac:dyDescent="0.35">
      <c r="H105" s="671"/>
      <c r="I105" s="671"/>
      <c r="J105" s="671"/>
      <c r="K105" s="671"/>
      <c r="L105" s="671"/>
      <c r="M105" s="671"/>
      <c r="N105" s="671"/>
      <c r="O105" s="671"/>
      <c r="P105" s="671"/>
      <c r="Q105" s="671"/>
      <c r="R105" s="671"/>
      <c r="S105" s="671"/>
      <c r="T105" s="671"/>
      <c r="U105" s="671"/>
      <c r="V105" s="671"/>
      <c r="W105" s="671"/>
      <c r="X105" s="671"/>
    </row>
    <row r="106" spans="8:24" x14ac:dyDescent="0.35">
      <c r="H106" s="671"/>
      <c r="I106" s="671"/>
      <c r="J106" s="671"/>
      <c r="K106" s="671"/>
      <c r="L106" s="671"/>
      <c r="M106" s="671"/>
      <c r="N106" s="671"/>
      <c r="O106" s="671"/>
      <c r="P106" s="671"/>
      <c r="Q106" s="671"/>
      <c r="R106" s="671"/>
      <c r="S106" s="671"/>
      <c r="T106" s="671"/>
      <c r="U106" s="671"/>
      <c r="V106" s="671"/>
      <c r="W106" s="671"/>
      <c r="X106" s="671"/>
    </row>
    <row r="107" spans="8:24" x14ac:dyDescent="0.35">
      <c r="H107" s="671"/>
      <c r="I107" s="671"/>
      <c r="J107" s="671"/>
      <c r="K107" s="671"/>
      <c r="L107" s="671"/>
      <c r="M107" s="671"/>
      <c r="N107" s="671"/>
      <c r="O107" s="671"/>
      <c r="P107" s="671"/>
      <c r="Q107" s="671"/>
      <c r="R107" s="671"/>
      <c r="S107" s="671"/>
      <c r="T107" s="671"/>
      <c r="U107" s="671"/>
      <c r="V107" s="671"/>
      <c r="W107" s="671"/>
      <c r="X107" s="671"/>
    </row>
    <row r="108" spans="8:24" x14ac:dyDescent="0.35">
      <c r="H108" s="671"/>
      <c r="I108" s="671"/>
      <c r="J108" s="671"/>
      <c r="K108" s="671"/>
      <c r="L108" s="671"/>
      <c r="M108" s="671"/>
      <c r="N108" s="671"/>
      <c r="O108" s="671"/>
      <c r="P108" s="671"/>
      <c r="Q108" s="671"/>
      <c r="R108" s="671"/>
      <c r="S108" s="671"/>
      <c r="T108" s="671"/>
      <c r="U108" s="671"/>
      <c r="V108" s="671"/>
      <c r="W108" s="671"/>
      <c r="X108" s="671"/>
    </row>
    <row r="109" spans="8:24" x14ac:dyDescent="0.35">
      <c r="H109" s="671"/>
      <c r="I109" s="671"/>
      <c r="J109" s="671"/>
      <c r="K109" s="671"/>
      <c r="L109" s="671"/>
      <c r="M109" s="671"/>
      <c r="N109" s="671"/>
      <c r="O109" s="671"/>
      <c r="P109" s="671"/>
      <c r="Q109" s="671"/>
      <c r="R109" s="671"/>
      <c r="S109" s="671"/>
      <c r="T109" s="671"/>
      <c r="U109" s="671"/>
      <c r="V109" s="671"/>
      <c r="W109" s="671"/>
      <c r="X109" s="671"/>
    </row>
    <row r="110" spans="8:24" x14ac:dyDescent="0.35">
      <c r="H110" s="671"/>
      <c r="I110" s="671"/>
      <c r="J110" s="671"/>
      <c r="K110" s="671"/>
      <c r="L110" s="671"/>
      <c r="M110" s="671"/>
      <c r="N110" s="671"/>
      <c r="O110" s="671"/>
      <c r="P110" s="671"/>
      <c r="Q110" s="671"/>
      <c r="R110" s="671"/>
      <c r="S110" s="671"/>
      <c r="T110" s="671"/>
      <c r="U110" s="671"/>
      <c r="V110" s="671"/>
      <c r="W110" s="671"/>
      <c r="X110" s="671"/>
    </row>
    <row r="111" spans="8:24" x14ac:dyDescent="0.35">
      <c r="H111" s="671"/>
      <c r="I111" s="671"/>
      <c r="J111" s="671"/>
      <c r="K111" s="671"/>
      <c r="L111" s="671"/>
      <c r="M111" s="671"/>
      <c r="N111" s="671"/>
      <c r="O111" s="671"/>
      <c r="P111" s="671"/>
      <c r="Q111" s="671"/>
      <c r="R111" s="671"/>
      <c r="S111" s="671"/>
      <c r="T111" s="671"/>
      <c r="U111" s="671"/>
      <c r="V111" s="671"/>
      <c r="W111" s="671"/>
      <c r="X111" s="671"/>
    </row>
    <row r="112" spans="8:24" x14ac:dyDescent="0.35">
      <c r="H112" s="671"/>
      <c r="I112" s="671"/>
      <c r="J112" s="671"/>
      <c r="K112" s="671"/>
      <c r="L112" s="671"/>
      <c r="M112" s="671"/>
      <c r="N112" s="671"/>
      <c r="O112" s="671"/>
      <c r="P112" s="671"/>
      <c r="Q112" s="671"/>
      <c r="R112" s="671"/>
      <c r="S112" s="671"/>
      <c r="T112" s="671"/>
      <c r="U112" s="671"/>
      <c r="V112" s="671"/>
      <c r="W112" s="671"/>
      <c r="X112" s="671"/>
    </row>
    <row r="113" spans="8:24" x14ac:dyDescent="0.35">
      <c r="H113" s="671"/>
      <c r="I113" s="671"/>
      <c r="J113" s="671"/>
      <c r="K113" s="671"/>
      <c r="L113" s="671"/>
      <c r="M113" s="671"/>
      <c r="N113" s="671"/>
      <c r="O113" s="671"/>
      <c r="P113" s="671"/>
      <c r="Q113" s="671"/>
      <c r="R113" s="671"/>
      <c r="S113" s="671"/>
      <c r="T113" s="671"/>
      <c r="U113" s="671"/>
      <c r="V113" s="671"/>
      <c r="W113" s="671"/>
      <c r="X113" s="671"/>
    </row>
    <row r="114" spans="8:24" x14ac:dyDescent="0.35">
      <c r="H114" s="671"/>
      <c r="I114" s="671"/>
      <c r="J114" s="671"/>
      <c r="K114" s="671"/>
      <c r="L114" s="671"/>
      <c r="M114" s="671"/>
      <c r="N114" s="671"/>
      <c r="O114" s="671"/>
      <c r="P114" s="671"/>
      <c r="Q114" s="671"/>
      <c r="R114" s="671"/>
      <c r="S114" s="671"/>
      <c r="T114" s="671"/>
      <c r="U114" s="671"/>
      <c r="V114" s="671"/>
      <c r="W114" s="671"/>
      <c r="X114" s="671"/>
    </row>
    <row r="115" spans="8:24" x14ac:dyDescent="0.35">
      <c r="H115" s="671"/>
      <c r="I115" s="671"/>
      <c r="J115" s="671"/>
      <c r="K115" s="671"/>
      <c r="L115" s="671"/>
      <c r="M115" s="671"/>
      <c r="N115" s="671"/>
      <c r="O115" s="671"/>
      <c r="P115" s="671"/>
      <c r="Q115" s="671"/>
      <c r="R115" s="671"/>
      <c r="S115" s="671"/>
      <c r="T115" s="671"/>
      <c r="U115" s="671"/>
      <c r="V115" s="671"/>
      <c r="W115" s="671"/>
      <c r="X115" s="671"/>
    </row>
    <row r="116" spans="8:24" x14ac:dyDescent="0.35">
      <c r="H116" s="671"/>
      <c r="I116" s="671"/>
      <c r="J116" s="671"/>
      <c r="K116" s="671"/>
      <c r="L116" s="671"/>
      <c r="M116" s="671"/>
      <c r="N116" s="671"/>
      <c r="O116" s="671"/>
      <c r="P116" s="671"/>
      <c r="Q116" s="671"/>
      <c r="R116" s="671"/>
      <c r="S116" s="671"/>
      <c r="T116" s="671"/>
      <c r="U116" s="671"/>
      <c r="V116" s="671"/>
      <c r="W116" s="671"/>
      <c r="X116" s="671"/>
    </row>
    <row r="117" spans="8:24" x14ac:dyDescent="0.35">
      <c r="H117" s="671"/>
      <c r="I117" s="671"/>
      <c r="J117" s="671"/>
      <c r="K117" s="671"/>
      <c r="L117" s="671"/>
      <c r="M117" s="671"/>
      <c r="N117" s="671"/>
      <c r="O117" s="671"/>
      <c r="P117" s="671"/>
      <c r="Q117" s="671"/>
      <c r="R117" s="671"/>
      <c r="S117" s="671"/>
      <c r="T117" s="671"/>
      <c r="U117" s="671"/>
      <c r="V117" s="671"/>
      <c r="W117" s="671"/>
      <c r="X117" s="671"/>
    </row>
    <row r="118" spans="8:24" x14ac:dyDescent="0.35">
      <c r="H118" s="671"/>
      <c r="I118" s="671"/>
      <c r="J118" s="671"/>
      <c r="K118" s="671"/>
      <c r="L118" s="671"/>
      <c r="M118" s="671"/>
      <c r="N118" s="671"/>
      <c r="O118" s="671"/>
      <c r="P118" s="671"/>
      <c r="Q118" s="671"/>
      <c r="R118" s="671"/>
      <c r="S118" s="671"/>
      <c r="T118" s="671"/>
      <c r="U118" s="671"/>
      <c r="V118" s="671"/>
      <c r="W118" s="671"/>
      <c r="X118" s="671"/>
    </row>
    <row r="119" spans="8:24" x14ac:dyDescent="0.35">
      <c r="H119" s="671"/>
      <c r="I119" s="671"/>
      <c r="J119" s="671"/>
      <c r="K119" s="671"/>
      <c r="L119" s="671"/>
      <c r="M119" s="671"/>
      <c r="N119" s="671"/>
      <c r="O119" s="671"/>
      <c r="P119" s="671"/>
      <c r="Q119" s="671"/>
      <c r="R119" s="671"/>
      <c r="S119" s="671"/>
      <c r="T119" s="671"/>
      <c r="U119" s="671"/>
      <c r="V119" s="671"/>
      <c r="W119" s="671"/>
      <c r="X119" s="671"/>
    </row>
    <row r="120" spans="8:24" x14ac:dyDescent="0.35">
      <c r="H120" s="671"/>
      <c r="I120" s="671"/>
      <c r="J120" s="671"/>
      <c r="K120" s="671"/>
      <c r="L120" s="671"/>
      <c r="M120" s="671"/>
      <c r="N120" s="671"/>
      <c r="O120" s="671"/>
      <c r="P120" s="671"/>
      <c r="Q120" s="671"/>
      <c r="R120" s="671"/>
      <c r="S120" s="671"/>
      <c r="T120" s="671"/>
      <c r="U120" s="671"/>
      <c r="V120" s="671"/>
      <c r="W120" s="671"/>
      <c r="X120" s="671"/>
    </row>
    <row r="121" spans="8:24" x14ac:dyDescent="0.35">
      <c r="H121" s="671"/>
      <c r="I121" s="671"/>
      <c r="J121" s="671"/>
      <c r="K121" s="671"/>
      <c r="L121" s="671"/>
      <c r="M121" s="671"/>
      <c r="N121" s="671"/>
      <c r="O121" s="671"/>
      <c r="P121" s="671"/>
      <c r="Q121" s="671"/>
      <c r="R121" s="671"/>
      <c r="S121" s="671"/>
      <c r="T121" s="671"/>
      <c r="U121" s="671"/>
      <c r="V121" s="671"/>
      <c r="W121" s="671"/>
      <c r="X121" s="671"/>
    </row>
    <row r="122" spans="8:24" x14ac:dyDescent="0.35">
      <c r="H122" s="671"/>
      <c r="I122" s="671"/>
      <c r="J122" s="671"/>
      <c r="K122" s="671"/>
      <c r="L122" s="671"/>
      <c r="M122" s="671"/>
      <c r="N122" s="671"/>
      <c r="O122" s="671"/>
      <c r="P122" s="671"/>
      <c r="Q122" s="671"/>
      <c r="R122" s="671"/>
      <c r="S122" s="671"/>
      <c r="T122" s="671"/>
      <c r="U122" s="671"/>
      <c r="V122" s="671"/>
      <c r="W122" s="671"/>
      <c r="X122" s="671"/>
    </row>
    <row r="123" spans="8:24" x14ac:dyDescent="0.35">
      <c r="H123" s="671"/>
      <c r="I123" s="671"/>
      <c r="J123" s="671"/>
      <c r="K123" s="671"/>
      <c r="L123" s="671"/>
      <c r="M123" s="671"/>
      <c r="N123" s="671"/>
      <c r="O123" s="671"/>
      <c r="P123" s="671"/>
      <c r="Q123" s="671"/>
      <c r="R123" s="671"/>
      <c r="S123" s="671"/>
      <c r="T123" s="671"/>
      <c r="U123" s="671"/>
      <c r="V123" s="671"/>
      <c r="W123" s="671"/>
      <c r="X123" s="671"/>
    </row>
    <row r="124" spans="8:24" x14ac:dyDescent="0.35">
      <c r="H124" s="671"/>
      <c r="I124" s="671"/>
      <c r="J124" s="671"/>
      <c r="K124" s="671"/>
      <c r="L124" s="671"/>
      <c r="M124" s="671"/>
      <c r="N124" s="671"/>
      <c r="O124" s="671"/>
      <c r="P124" s="671"/>
      <c r="Q124" s="671"/>
      <c r="R124" s="671"/>
      <c r="S124" s="671"/>
      <c r="T124" s="671"/>
      <c r="U124" s="671"/>
      <c r="V124" s="671"/>
      <c r="W124" s="671"/>
      <c r="X124" s="671"/>
    </row>
    <row r="125" spans="8:24" x14ac:dyDescent="0.35">
      <c r="H125" s="671"/>
      <c r="I125" s="671"/>
      <c r="J125" s="671"/>
      <c r="K125" s="671"/>
      <c r="L125" s="671"/>
      <c r="M125" s="671"/>
      <c r="N125" s="671"/>
      <c r="O125" s="671"/>
      <c r="P125" s="671"/>
      <c r="Q125" s="671"/>
      <c r="R125" s="671"/>
      <c r="S125" s="671"/>
      <c r="T125" s="671"/>
      <c r="U125" s="671"/>
      <c r="V125" s="671"/>
      <c r="W125" s="671"/>
      <c r="X125" s="671"/>
    </row>
    <row r="126" spans="8:24" x14ac:dyDescent="0.35">
      <c r="H126" s="671"/>
      <c r="I126" s="671"/>
      <c r="J126" s="671"/>
      <c r="K126" s="671"/>
      <c r="L126" s="671"/>
      <c r="M126" s="671"/>
      <c r="N126" s="671"/>
      <c r="O126" s="671"/>
      <c r="P126" s="671"/>
      <c r="Q126" s="671"/>
      <c r="R126" s="671"/>
      <c r="S126" s="671"/>
      <c r="T126" s="671"/>
      <c r="U126" s="671"/>
      <c r="V126" s="671"/>
      <c r="W126" s="671"/>
      <c r="X126" s="671"/>
    </row>
    <row r="127" spans="8:24" x14ac:dyDescent="0.35">
      <c r="H127" s="671"/>
      <c r="I127" s="671"/>
      <c r="J127" s="671"/>
      <c r="K127" s="671"/>
      <c r="L127" s="671"/>
      <c r="M127" s="671"/>
      <c r="N127" s="671"/>
      <c r="O127" s="671"/>
      <c r="P127" s="671"/>
      <c r="Q127" s="671"/>
      <c r="R127" s="671"/>
      <c r="S127" s="671"/>
      <c r="T127" s="671"/>
      <c r="U127" s="671"/>
      <c r="V127" s="671"/>
      <c r="W127" s="671"/>
      <c r="X127" s="671"/>
    </row>
    <row r="128" spans="8:24" x14ac:dyDescent="0.35">
      <c r="H128" s="671"/>
      <c r="I128" s="671"/>
      <c r="J128" s="671"/>
      <c r="K128" s="671"/>
      <c r="L128" s="671"/>
      <c r="M128" s="671"/>
      <c r="N128" s="671"/>
      <c r="O128" s="671"/>
      <c r="P128" s="671"/>
      <c r="Q128" s="671"/>
      <c r="R128" s="671"/>
      <c r="S128" s="671"/>
      <c r="T128" s="671"/>
      <c r="U128" s="671"/>
      <c r="V128" s="671"/>
      <c r="W128" s="671"/>
      <c r="X128" s="671"/>
    </row>
    <row r="129" spans="8:24" x14ac:dyDescent="0.35">
      <c r="H129" s="671"/>
      <c r="I129" s="671"/>
      <c r="J129" s="671"/>
      <c r="K129" s="671"/>
      <c r="L129" s="671"/>
      <c r="M129" s="671"/>
      <c r="N129" s="671"/>
      <c r="O129" s="671"/>
      <c r="P129" s="671"/>
      <c r="Q129" s="671"/>
      <c r="R129" s="671"/>
      <c r="S129" s="671"/>
      <c r="T129" s="671"/>
      <c r="U129" s="671"/>
      <c r="V129" s="671"/>
      <c r="W129" s="671"/>
      <c r="X129" s="671"/>
    </row>
    <row r="130" spans="8:24" x14ac:dyDescent="0.35">
      <c r="H130" s="671"/>
      <c r="I130" s="671"/>
      <c r="J130" s="671"/>
      <c r="K130" s="671"/>
      <c r="L130" s="671"/>
      <c r="M130" s="671"/>
      <c r="N130" s="671"/>
      <c r="O130" s="671"/>
      <c r="P130" s="671"/>
      <c r="Q130" s="671"/>
      <c r="R130" s="671"/>
      <c r="S130" s="671"/>
      <c r="T130" s="671"/>
      <c r="U130" s="671"/>
      <c r="V130" s="671"/>
      <c r="W130" s="671"/>
      <c r="X130" s="671"/>
    </row>
    <row r="131" spans="8:24" x14ac:dyDescent="0.35">
      <c r="H131" s="671"/>
      <c r="I131" s="671"/>
      <c r="J131" s="671"/>
      <c r="K131" s="671"/>
      <c r="L131" s="671"/>
      <c r="M131" s="671"/>
      <c r="N131" s="671"/>
      <c r="O131" s="671"/>
      <c r="P131" s="671"/>
      <c r="Q131" s="671"/>
      <c r="R131" s="671"/>
      <c r="S131" s="671"/>
      <c r="T131" s="671"/>
      <c r="U131" s="671"/>
      <c r="V131" s="671"/>
      <c r="W131" s="671"/>
      <c r="X131" s="671"/>
    </row>
    <row r="132" spans="8:24" x14ac:dyDescent="0.35">
      <c r="H132" s="671"/>
      <c r="I132" s="671"/>
      <c r="J132" s="671"/>
      <c r="K132" s="671"/>
      <c r="L132" s="671"/>
      <c r="M132" s="671"/>
      <c r="N132" s="671"/>
      <c r="O132" s="671"/>
      <c r="P132" s="671"/>
      <c r="Q132" s="671"/>
      <c r="R132" s="671"/>
      <c r="S132" s="671"/>
      <c r="T132" s="671"/>
      <c r="U132" s="671"/>
      <c r="V132" s="671"/>
      <c r="W132" s="671"/>
      <c r="X132" s="671"/>
    </row>
    <row r="133" spans="8:24" x14ac:dyDescent="0.35">
      <c r="H133" s="671"/>
      <c r="I133" s="671"/>
      <c r="J133" s="671"/>
      <c r="K133" s="671"/>
      <c r="L133" s="671"/>
      <c r="M133" s="671"/>
      <c r="N133" s="671"/>
      <c r="O133" s="671"/>
      <c r="P133" s="671"/>
      <c r="Q133" s="671"/>
      <c r="R133" s="671"/>
      <c r="S133" s="671"/>
      <c r="T133" s="671"/>
      <c r="U133" s="671"/>
      <c r="V133" s="671"/>
      <c r="W133" s="671"/>
      <c r="X133" s="671"/>
    </row>
    <row r="134" spans="8:24" x14ac:dyDescent="0.35">
      <c r="H134" s="671"/>
      <c r="I134" s="671"/>
      <c r="J134" s="671"/>
      <c r="K134" s="671"/>
      <c r="L134" s="671"/>
      <c r="M134" s="671"/>
      <c r="N134" s="671"/>
      <c r="O134" s="671"/>
      <c r="P134" s="671"/>
      <c r="Q134" s="671"/>
      <c r="R134" s="671"/>
      <c r="S134" s="671"/>
      <c r="T134" s="671"/>
      <c r="U134" s="671"/>
      <c r="V134" s="671"/>
      <c r="W134" s="671"/>
      <c r="X134" s="671"/>
    </row>
    <row r="135" spans="8:24" x14ac:dyDescent="0.35">
      <c r="H135" s="671"/>
      <c r="I135" s="671"/>
      <c r="J135" s="671"/>
      <c r="K135" s="671"/>
      <c r="L135" s="671"/>
      <c r="M135" s="671"/>
      <c r="N135" s="671"/>
      <c r="O135" s="671"/>
      <c r="P135" s="671"/>
      <c r="Q135" s="671"/>
      <c r="R135" s="671"/>
      <c r="S135" s="671"/>
      <c r="T135" s="671"/>
      <c r="U135" s="671"/>
      <c r="V135" s="671"/>
      <c r="W135" s="671"/>
      <c r="X135" s="671"/>
    </row>
    <row r="136" spans="8:24" x14ac:dyDescent="0.35">
      <c r="H136" s="671"/>
      <c r="I136" s="671"/>
      <c r="J136" s="671"/>
      <c r="K136" s="671"/>
      <c r="L136" s="671"/>
      <c r="M136" s="671"/>
      <c r="N136" s="671"/>
      <c r="O136" s="671"/>
      <c r="P136" s="671"/>
      <c r="Q136" s="671"/>
      <c r="R136" s="671"/>
      <c r="S136" s="671"/>
      <c r="T136" s="671"/>
      <c r="U136" s="671"/>
      <c r="V136" s="671"/>
      <c r="W136" s="671"/>
      <c r="X136" s="671"/>
    </row>
    <row r="137" spans="8:24" x14ac:dyDescent="0.35">
      <c r="H137" s="671"/>
      <c r="I137" s="671"/>
      <c r="J137" s="671"/>
      <c r="K137" s="671"/>
      <c r="L137" s="671"/>
      <c r="M137" s="671"/>
      <c r="N137" s="671"/>
      <c r="O137" s="671"/>
      <c r="P137" s="671"/>
      <c r="Q137" s="671"/>
      <c r="R137" s="671"/>
      <c r="S137" s="671"/>
      <c r="T137" s="671"/>
      <c r="U137" s="671"/>
      <c r="V137" s="671"/>
      <c r="W137" s="671"/>
      <c r="X137" s="671"/>
    </row>
    <row r="138" spans="8:24" x14ac:dyDescent="0.35">
      <c r="H138" s="671"/>
      <c r="I138" s="671"/>
      <c r="J138" s="671"/>
      <c r="K138" s="671"/>
      <c r="L138" s="671"/>
      <c r="M138" s="671"/>
      <c r="N138" s="671"/>
      <c r="O138" s="671"/>
      <c r="P138" s="671"/>
      <c r="Q138" s="671"/>
      <c r="R138" s="671"/>
      <c r="S138" s="671"/>
      <c r="T138" s="671"/>
      <c r="U138" s="671"/>
      <c r="V138" s="671"/>
      <c r="W138" s="671"/>
      <c r="X138" s="671"/>
    </row>
    <row r="139" spans="8:24" x14ac:dyDescent="0.35">
      <c r="H139" s="671"/>
      <c r="I139" s="671"/>
      <c r="J139" s="671"/>
      <c r="K139" s="671"/>
      <c r="L139" s="671"/>
      <c r="M139" s="671"/>
      <c r="N139" s="671"/>
      <c r="O139" s="671"/>
      <c r="P139" s="671"/>
      <c r="Q139" s="671"/>
      <c r="R139" s="671"/>
      <c r="S139" s="671"/>
      <c r="T139" s="671"/>
      <c r="U139" s="671"/>
      <c r="V139" s="671"/>
      <c r="W139" s="671"/>
      <c r="X139" s="671"/>
    </row>
    <row r="140" spans="8:24" x14ac:dyDescent="0.35">
      <c r="H140" s="671"/>
      <c r="I140" s="671"/>
      <c r="J140" s="671"/>
      <c r="K140" s="671"/>
      <c r="L140" s="671"/>
      <c r="M140" s="671"/>
      <c r="N140" s="671"/>
      <c r="O140" s="671"/>
      <c r="P140" s="671"/>
      <c r="Q140" s="671"/>
      <c r="R140" s="671"/>
      <c r="S140" s="671"/>
      <c r="T140" s="671"/>
      <c r="U140" s="671"/>
      <c r="V140" s="671"/>
      <c r="W140" s="671"/>
      <c r="X140" s="671"/>
    </row>
    <row r="141" spans="8:24" x14ac:dyDescent="0.35">
      <c r="H141" s="671"/>
      <c r="I141" s="671"/>
      <c r="J141" s="671"/>
      <c r="K141" s="671"/>
      <c r="L141" s="671"/>
      <c r="M141" s="671"/>
      <c r="N141" s="671"/>
      <c r="O141" s="671"/>
      <c r="P141" s="671"/>
      <c r="Q141" s="671"/>
      <c r="R141" s="671"/>
      <c r="S141" s="671"/>
      <c r="T141" s="671"/>
      <c r="U141" s="671"/>
      <c r="V141" s="671"/>
      <c r="W141" s="671"/>
      <c r="X141" s="671"/>
    </row>
    <row r="142" spans="8:24" x14ac:dyDescent="0.35">
      <c r="H142" s="671"/>
      <c r="I142" s="671"/>
      <c r="J142" s="671"/>
      <c r="K142" s="671"/>
      <c r="L142" s="671"/>
      <c r="M142" s="671"/>
      <c r="N142" s="671"/>
      <c r="O142" s="671"/>
      <c r="P142" s="671"/>
      <c r="Q142" s="671"/>
      <c r="R142" s="671"/>
      <c r="S142" s="671"/>
      <c r="T142" s="671"/>
      <c r="U142" s="671"/>
      <c r="V142" s="671"/>
      <c r="W142" s="671"/>
      <c r="X142" s="671"/>
    </row>
    <row r="143" spans="8:24" x14ac:dyDescent="0.35">
      <c r="H143" s="671"/>
      <c r="I143" s="671"/>
      <c r="J143" s="671"/>
      <c r="K143" s="671"/>
      <c r="L143" s="671"/>
      <c r="M143" s="671"/>
      <c r="N143" s="671"/>
      <c r="O143" s="671"/>
      <c r="P143" s="671"/>
      <c r="Q143" s="671"/>
      <c r="R143" s="671"/>
      <c r="S143" s="671"/>
      <c r="T143" s="671"/>
      <c r="U143" s="671"/>
      <c r="V143" s="671"/>
      <c r="W143" s="671"/>
      <c r="X143" s="671"/>
    </row>
    <row r="144" spans="8:24" x14ac:dyDescent="0.35">
      <c r="H144" s="671"/>
      <c r="I144" s="671"/>
      <c r="J144" s="671"/>
      <c r="K144" s="671"/>
      <c r="L144" s="671"/>
      <c r="M144" s="671"/>
      <c r="N144" s="671"/>
      <c r="O144" s="671"/>
      <c r="P144" s="671"/>
      <c r="Q144" s="671"/>
      <c r="R144" s="671"/>
      <c r="S144" s="671"/>
      <c r="T144" s="671"/>
      <c r="U144" s="671"/>
      <c r="V144" s="671"/>
      <c r="W144" s="671"/>
      <c r="X144" s="671"/>
    </row>
    <row r="145" spans="8:24" x14ac:dyDescent="0.35">
      <c r="H145" s="671"/>
      <c r="I145" s="671"/>
      <c r="J145" s="671"/>
      <c r="K145" s="671"/>
      <c r="L145" s="671"/>
      <c r="M145" s="671"/>
      <c r="N145" s="671"/>
      <c r="O145" s="671"/>
      <c r="P145" s="671"/>
      <c r="Q145" s="671"/>
      <c r="R145" s="671"/>
      <c r="S145" s="671"/>
      <c r="T145" s="671"/>
      <c r="U145" s="671"/>
      <c r="V145" s="671"/>
      <c r="W145" s="671"/>
      <c r="X145" s="671"/>
    </row>
    <row r="146" spans="8:24" x14ac:dyDescent="0.35">
      <c r="H146" s="671"/>
      <c r="I146" s="671"/>
      <c r="J146" s="671"/>
      <c r="K146" s="671"/>
      <c r="L146" s="671"/>
      <c r="M146" s="671"/>
      <c r="N146" s="671"/>
      <c r="O146" s="671"/>
      <c r="P146" s="671"/>
      <c r="Q146" s="671"/>
      <c r="R146" s="671"/>
      <c r="S146" s="671"/>
      <c r="T146" s="671"/>
      <c r="U146" s="671"/>
      <c r="V146" s="671"/>
      <c r="W146" s="671"/>
      <c r="X146" s="671"/>
    </row>
    <row r="147" spans="8:24" x14ac:dyDescent="0.35">
      <c r="H147" s="671"/>
      <c r="I147" s="671"/>
      <c r="J147" s="671"/>
      <c r="K147" s="671"/>
      <c r="L147" s="671"/>
      <c r="M147" s="671"/>
      <c r="N147" s="671"/>
      <c r="O147" s="671"/>
      <c r="P147" s="671"/>
      <c r="Q147" s="671"/>
      <c r="R147" s="671"/>
      <c r="S147" s="671"/>
      <c r="T147" s="671"/>
      <c r="U147" s="671"/>
      <c r="V147" s="671"/>
      <c r="W147" s="671"/>
      <c r="X147" s="671"/>
    </row>
    <row r="148" spans="8:24" x14ac:dyDescent="0.35">
      <c r="H148" s="671"/>
      <c r="I148" s="671"/>
      <c r="J148" s="671"/>
      <c r="K148" s="671"/>
      <c r="L148" s="671"/>
      <c r="M148" s="671"/>
      <c r="N148" s="671"/>
      <c r="O148" s="671"/>
      <c r="P148" s="671"/>
      <c r="Q148" s="671"/>
      <c r="R148" s="671"/>
      <c r="S148" s="671"/>
      <c r="T148" s="671"/>
      <c r="U148" s="671"/>
      <c r="V148" s="671"/>
      <c r="W148" s="671"/>
      <c r="X148" s="671"/>
    </row>
    <row r="149" spans="8:24" x14ac:dyDescent="0.35">
      <c r="H149" s="671"/>
      <c r="I149" s="671"/>
      <c r="J149" s="671"/>
      <c r="K149" s="671"/>
      <c r="L149" s="671"/>
      <c r="M149" s="671"/>
      <c r="N149" s="671"/>
      <c r="O149" s="671"/>
      <c r="P149" s="671"/>
      <c r="Q149" s="671"/>
      <c r="R149" s="671"/>
      <c r="S149" s="671"/>
      <c r="T149" s="671"/>
      <c r="U149" s="671"/>
      <c r="V149" s="671"/>
      <c r="W149" s="671"/>
      <c r="X149" s="671"/>
    </row>
    <row r="150" spans="8:24" x14ac:dyDescent="0.35">
      <c r="H150" s="671"/>
      <c r="I150" s="671"/>
      <c r="J150" s="671"/>
      <c r="K150" s="671"/>
      <c r="L150" s="671"/>
      <c r="M150" s="671"/>
      <c r="N150" s="671"/>
      <c r="O150" s="671"/>
      <c r="P150" s="671"/>
      <c r="Q150" s="671"/>
      <c r="R150" s="671"/>
      <c r="S150" s="671"/>
      <c r="T150" s="671"/>
      <c r="U150" s="671"/>
      <c r="V150" s="671"/>
      <c r="W150" s="671"/>
      <c r="X150" s="671"/>
    </row>
    <row r="151" spans="8:24" x14ac:dyDescent="0.35">
      <c r="H151" s="671"/>
      <c r="I151" s="671"/>
      <c r="J151" s="671"/>
      <c r="K151" s="671"/>
      <c r="L151" s="671"/>
      <c r="M151" s="671"/>
      <c r="N151" s="671"/>
      <c r="O151" s="671"/>
      <c r="P151" s="671"/>
      <c r="Q151" s="671"/>
      <c r="R151" s="671"/>
      <c r="S151" s="671"/>
      <c r="T151" s="671"/>
      <c r="U151" s="671"/>
      <c r="V151" s="671"/>
      <c r="W151" s="671"/>
      <c r="X151" s="671"/>
    </row>
    <row r="152" spans="8:24" x14ac:dyDescent="0.35">
      <c r="H152" s="671"/>
      <c r="I152" s="671"/>
      <c r="J152" s="671"/>
      <c r="K152" s="671"/>
      <c r="L152" s="671"/>
      <c r="M152" s="671"/>
      <c r="N152" s="671"/>
      <c r="O152" s="671"/>
      <c r="P152" s="671"/>
      <c r="Q152" s="671"/>
      <c r="R152" s="671"/>
      <c r="S152" s="671"/>
      <c r="T152" s="671"/>
      <c r="U152" s="671"/>
      <c r="V152" s="671"/>
      <c r="W152" s="671"/>
      <c r="X152" s="671"/>
    </row>
    <row r="153" spans="8:24" x14ac:dyDescent="0.35">
      <c r="H153" s="671"/>
      <c r="I153" s="671"/>
      <c r="J153" s="671"/>
      <c r="K153" s="671"/>
      <c r="L153" s="671"/>
      <c r="M153" s="671"/>
      <c r="N153" s="671"/>
      <c r="O153" s="671"/>
      <c r="P153" s="671"/>
      <c r="Q153" s="671"/>
      <c r="R153" s="671"/>
      <c r="S153" s="671"/>
      <c r="T153" s="671"/>
      <c r="U153" s="671"/>
      <c r="V153" s="671"/>
      <c r="W153" s="671"/>
      <c r="X153" s="671"/>
    </row>
    <row r="154" spans="8:24" x14ac:dyDescent="0.35">
      <c r="H154" s="671"/>
      <c r="I154" s="671"/>
      <c r="J154" s="671"/>
      <c r="K154" s="671"/>
      <c r="L154" s="671"/>
      <c r="M154" s="671"/>
      <c r="N154" s="671"/>
      <c r="O154" s="671"/>
      <c r="P154" s="671"/>
      <c r="Q154" s="671"/>
      <c r="R154" s="671"/>
      <c r="S154" s="671"/>
      <c r="T154" s="671"/>
      <c r="U154" s="671"/>
      <c r="V154" s="671"/>
      <c r="W154" s="671"/>
      <c r="X154" s="671"/>
    </row>
    <row r="155" spans="8:24" x14ac:dyDescent="0.35">
      <c r="H155" s="671"/>
      <c r="I155" s="671"/>
      <c r="J155" s="671"/>
      <c r="K155" s="671"/>
      <c r="L155" s="671"/>
      <c r="M155" s="671"/>
      <c r="N155" s="671"/>
      <c r="O155" s="671"/>
      <c r="P155" s="671"/>
      <c r="Q155" s="671"/>
      <c r="R155" s="671"/>
      <c r="S155" s="671"/>
      <c r="T155" s="671"/>
      <c r="U155" s="671"/>
      <c r="V155" s="671"/>
      <c r="W155" s="671"/>
      <c r="X155" s="671"/>
    </row>
    <row r="156" spans="8:24" x14ac:dyDescent="0.35">
      <c r="H156" s="671"/>
      <c r="I156" s="671"/>
      <c r="J156" s="671"/>
      <c r="K156" s="671"/>
      <c r="L156" s="671"/>
      <c r="M156" s="671"/>
      <c r="N156" s="671"/>
      <c r="O156" s="671"/>
      <c r="P156" s="671"/>
      <c r="Q156" s="671"/>
      <c r="R156" s="671"/>
      <c r="S156" s="671"/>
      <c r="T156" s="671"/>
      <c r="U156" s="671"/>
      <c r="V156" s="671"/>
      <c r="W156" s="671"/>
      <c r="X156" s="671"/>
    </row>
    <row r="157" spans="8:24" x14ac:dyDescent="0.35">
      <c r="H157" s="671"/>
      <c r="I157" s="671"/>
      <c r="J157" s="671"/>
      <c r="K157" s="671"/>
      <c r="L157" s="671"/>
      <c r="M157" s="671"/>
      <c r="N157" s="671"/>
      <c r="O157" s="671"/>
      <c r="P157" s="671"/>
      <c r="Q157" s="671"/>
      <c r="R157" s="671"/>
      <c r="S157" s="671"/>
      <c r="T157" s="671"/>
      <c r="U157" s="671"/>
      <c r="V157" s="671"/>
      <c r="W157" s="671"/>
      <c r="X157" s="671"/>
    </row>
    <row r="158" spans="8:24" x14ac:dyDescent="0.35">
      <c r="H158" s="671"/>
      <c r="I158" s="671"/>
      <c r="J158" s="671"/>
      <c r="K158" s="671"/>
      <c r="L158" s="671"/>
      <c r="M158" s="671"/>
      <c r="N158" s="671"/>
      <c r="O158" s="671"/>
      <c r="P158" s="671"/>
      <c r="Q158" s="671"/>
      <c r="R158" s="671"/>
      <c r="S158" s="671"/>
      <c r="T158" s="671"/>
      <c r="U158" s="671"/>
      <c r="V158" s="671"/>
      <c r="W158" s="671"/>
      <c r="X158" s="671"/>
    </row>
    <row r="159" spans="8:24" x14ac:dyDescent="0.35">
      <c r="H159" s="671"/>
      <c r="I159" s="671"/>
      <c r="J159" s="671"/>
      <c r="K159" s="671"/>
      <c r="L159" s="671"/>
      <c r="M159" s="671"/>
      <c r="N159" s="671"/>
      <c r="O159" s="671"/>
      <c r="P159" s="671"/>
      <c r="Q159" s="671"/>
      <c r="R159" s="671"/>
      <c r="S159" s="671"/>
      <c r="T159" s="671"/>
      <c r="U159" s="671"/>
      <c r="V159" s="671"/>
      <c r="W159" s="671"/>
      <c r="X159" s="671"/>
    </row>
    <row r="160" spans="8:24" x14ac:dyDescent="0.35">
      <c r="H160" s="671"/>
      <c r="I160" s="671"/>
      <c r="J160" s="671"/>
      <c r="K160" s="671"/>
      <c r="L160" s="671"/>
      <c r="M160" s="671"/>
      <c r="N160" s="671"/>
      <c r="O160" s="671"/>
      <c r="P160" s="671"/>
      <c r="Q160" s="671"/>
      <c r="R160" s="671"/>
      <c r="S160" s="671"/>
      <c r="T160" s="671"/>
      <c r="U160" s="671"/>
      <c r="V160" s="671"/>
      <c r="W160" s="671"/>
      <c r="X160" s="671"/>
    </row>
    <row r="161" spans="8:24" x14ac:dyDescent="0.35">
      <c r="H161" s="671"/>
      <c r="I161" s="671"/>
      <c r="J161" s="671"/>
      <c r="K161" s="671"/>
      <c r="L161" s="671"/>
      <c r="M161" s="671"/>
      <c r="N161" s="671"/>
      <c r="O161" s="671"/>
      <c r="P161" s="671"/>
      <c r="Q161" s="671"/>
      <c r="R161" s="671"/>
      <c r="S161" s="671"/>
      <c r="T161" s="671"/>
      <c r="U161" s="671"/>
      <c r="V161" s="671"/>
      <c r="W161" s="671"/>
      <c r="X161" s="671"/>
    </row>
    <row r="162" spans="8:24" x14ac:dyDescent="0.35">
      <c r="H162" s="671"/>
      <c r="I162" s="671"/>
      <c r="J162" s="671"/>
      <c r="K162" s="671"/>
      <c r="L162" s="671"/>
      <c r="M162" s="671"/>
      <c r="N162" s="671"/>
      <c r="O162" s="671"/>
      <c r="P162" s="671"/>
      <c r="Q162" s="671"/>
      <c r="R162" s="671"/>
      <c r="S162" s="671"/>
      <c r="T162" s="671"/>
      <c r="U162" s="671"/>
      <c r="V162" s="671"/>
      <c r="W162" s="671"/>
      <c r="X162" s="671"/>
    </row>
    <row r="163" spans="8:24" x14ac:dyDescent="0.35">
      <c r="H163" s="671"/>
      <c r="I163" s="671"/>
      <c r="J163" s="671"/>
      <c r="K163" s="671"/>
      <c r="L163" s="671"/>
      <c r="M163" s="671"/>
      <c r="N163" s="671"/>
      <c r="O163" s="671"/>
      <c r="P163" s="671"/>
      <c r="Q163" s="671"/>
      <c r="R163" s="671"/>
      <c r="S163" s="671"/>
      <c r="T163" s="671"/>
      <c r="U163" s="671"/>
      <c r="V163" s="671"/>
      <c r="W163" s="671"/>
      <c r="X163" s="671"/>
    </row>
    <row r="164" spans="8:24" x14ac:dyDescent="0.35">
      <c r="H164" s="671"/>
      <c r="I164" s="671"/>
      <c r="J164" s="671"/>
      <c r="K164" s="671"/>
      <c r="L164" s="671"/>
      <c r="M164" s="671"/>
      <c r="N164" s="671"/>
      <c r="O164" s="671"/>
      <c r="P164" s="671"/>
      <c r="Q164" s="671"/>
      <c r="R164" s="671"/>
      <c r="S164" s="671"/>
      <c r="T164" s="671"/>
      <c r="U164" s="671"/>
      <c r="V164" s="671"/>
      <c r="W164" s="671"/>
      <c r="X164" s="671"/>
    </row>
    <row r="165" spans="8:24" x14ac:dyDescent="0.35">
      <c r="H165" s="671"/>
      <c r="I165" s="671"/>
      <c r="J165" s="671"/>
      <c r="K165" s="671"/>
      <c r="L165" s="671"/>
      <c r="M165" s="671"/>
      <c r="N165" s="671"/>
      <c r="O165" s="671"/>
      <c r="P165" s="671"/>
      <c r="Q165" s="671"/>
      <c r="R165" s="671"/>
      <c r="S165" s="671"/>
      <c r="T165" s="671"/>
      <c r="U165" s="671"/>
      <c r="V165" s="671"/>
      <c r="W165" s="671"/>
      <c r="X165" s="671"/>
    </row>
    <row r="166" spans="8:24" x14ac:dyDescent="0.35">
      <c r="H166" s="671"/>
      <c r="I166" s="671"/>
      <c r="J166" s="671"/>
      <c r="K166" s="671"/>
      <c r="L166" s="671"/>
      <c r="M166" s="671"/>
      <c r="N166" s="671"/>
      <c r="O166" s="671"/>
      <c r="P166" s="671"/>
      <c r="Q166" s="671"/>
      <c r="R166" s="671"/>
      <c r="S166" s="671"/>
      <c r="T166" s="671"/>
      <c r="U166" s="671"/>
      <c r="V166" s="671"/>
      <c r="W166" s="671"/>
      <c r="X166" s="671"/>
    </row>
    <row r="167" spans="8:24" x14ac:dyDescent="0.35">
      <c r="H167" s="671"/>
      <c r="I167" s="671"/>
      <c r="J167" s="671"/>
      <c r="K167" s="671"/>
      <c r="L167" s="671"/>
      <c r="M167" s="671"/>
      <c r="N167" s="671"/>
      <c r="O167" s="671"/>
      <c r="P167" s="671"/>
      <c r="Q167" s="671"/>
      <c r="R167" s="671"/>
      <c r="S167" s="671"/>
      <c r="T167" s="671"/>
      <c r="U167" s="671"/>
      <c r="V167" s="671"/>
      <c r="W167" s="671"/>
      <c r="X167" s="671"/>
    </row>
    <row r="168" spans="8:24" x14ac:dyDescent="0.35">
      <c r="H168" s="671"/>
      <c r="I168" s="671"/>
      <c r="J168" s="671"/>
      <c r="K168" s="671"/>
      <c r="L168" s="671"/>
      <c r="M168" s="671"/>
      <c r="N168" s="671"/>
      <c r="O168" s="671"/>
      <c r="P168" s="671"/>
      <c r="Q168" s="671"/>
      <c r="R168" s="671"/>
      <c r="S168" s="671"/>
      <c r="T168" s="671"/>
      <c r="U168" s="671"/>
      <c r="V168" s="671"/>
      <c r="W168" s="671"/>
      <c r="X168" s="671"/>
    </row>
    <row r="169" spans="8:24" x14ac:dyDescent="0.35">
      <c r="H169" s="671"/>
      <c r="I169" s="671"/>
      <c r="J169" s="671"/>
      <c r="K169" s="671"/>
      <c r="L169" s="671"/>
      <c r="M169" s="671"/>
      <c r="N169" s="671"/>
      <c r="O169" s="671"/>
      <c r="P169" s="671"/>
      <c r="Q169" s="671"/>
      <c r="R169" s="671"/>
      <c r="S169" s="671"/>
      <c r="T169" s="671"/>
      <c r="U169" s="671"/>
      <c r="V169" s="671"/>
      <c r="W169" s="671"/>
      <c r="X169" s="671"/>
    </row>
    <row r="170" spans="8:24" x14ac:dyDescent="0.35">
      <c r="H170" s="671"/>
      <c r="I170" s="671"/>
      <c r="J170" s="671"/>
      <c r="K170" s="671"/>
      <c r="L170" s="671"/>
      <c r="M170" s="671"/>
      <c r="N170" s="671"/>
      <c r="O170" s="671"/>
      <c r="P170" s="671"/>
      <c r="Q170" s="671"/>
      <c r="R170" s="671"/>
      <c r="S170" s="671"/>
      <c r="T170" s="671"/>
      <c r="U170" s="671"/>
      <c r="V170" s="671"/>
      <c r="W170" s="671"/>
      <c r="X170" s="671"/>
    </row>
    <row r="171" spans="8:24" x14ac:dyDescent="0.35">
      <c r="H171" s="671"/>
      <c r="I171" s="671"/>
      <c r="J171" s="671"/>
      <c r="K171" s="671"/>
      <c r="L171" s="671"/>
      <c r="M171" s="671"/>
      <c r="N171" s="671"/>
      <c r="O171" s="671"/>
      <c r="P171" s="671"/>
      <c r="Q171" s="671"/>
      <c r="R171" s="671"/>
      <c r="S171" s="671"/>
      <c r="T171" s="671"/>
      <c r="U171" s="671"/>
      <c r="V171" s="671"/>
      <c r="W171" s="671"/>
      <c r="X171" s="671"/>
    </row>
    <row r="172" spans="8:24" x14ac:dyDescent="0.35">
      <c r="H172" s="671"/>
      <c r="I172" s="671"/>
      <c r="J172" s="671"/>
      <c r="K172" s="671"/>
      <c r="L172" s="671"/>
      <c r="M172" s="671"/>
      <c r="N172" s="671"/>
      <c r="O172" s="671"/>
      <c r="P172" s="671"/>
      <c r="Q172" s="671"/>
      <c r="R172" s="671"/>
      <c r="S172" s="671"/>
      <c r="T172" s="671"/>
      <c r="U172" s="671"/>
      <c r="V172" s="671"/>
      <c r="W172" s="671"/>
      <c r="X172" s="671"/>
    </row>
    <row r="173" spans="8:24" x14ac:dyDescent="0.35">
      <c r="H173" s="671"/>
      <c r="I173" s="671"/>
      <c r="J173" s="671"/>
      <c r="K173" s="671"/>
      <c r="L173" s="671"/>
      <c r="M173" s="671"/>
      <c r="N173" s="671"/>
      <c r="O173" s="671"/>
      <c r="P173" s="671"/>
      <c r="Q173" s="671"/>
      <c r="R173" s="671"/>
      <c r="S173" s="671"/>
      <c r="T173" s="671"/>
      <c r="U173" s="671"/>
      <c r="V173" s="671"/>
      <c r="W173" s="671"/>
      <c r="X173" s="671"/>
    </row>
    <row r="174" spans="8:24" x14ac:dyDescent="0.35">
      <c r="H174" s="671"/>
      <c r="I174" s="671"/>
      <c r="J174" s="671"/>
      <c r="K174" s="671"/>
      <c r="L174" s="671"/>
      <c r="M174" s="671"/>
      <c r="N174" s="671"/>
      <c r="O174" s="671"/>
      <c r="P174" s="671"/>
      <c r="Q174" s="671"/>
      <c r="R174" s="671"/>
      <c r="S174" s="671"/>
      <c r="T174" s="671"/>
      <c r="U174" s="671"/>
      <c r="V174" s="671"/>
      <c r="W174" s="671"/>
      <c r="X174" s="671"/>
    </row>
    <row r="175" spans="8:24" x14ac:dyDescent="0.35">
      <c r="H175" s="671"/>
      <c r="I175" s="671"/>
      <c r="J175" s="671"/>
      <c r="K175" s="671"/>
      <c r="L175" s="671"/>
      <c r="M175" s="671"/>
      <c r="N175" s="671"/>
      <c r="O175" s="671"/>
      <c r="P175" s="671"/>
      <c r="Q175" s="671"/>
      <c r="R175" s="671"/>
      <c r="S175" s="671"/>
      <c r="T175" s="671"/>
      <c r="U175" s="671"/>
      <c r="V175" s="671"/>
      <c r="W175" s="671"/>
      <c r="X175" s="671"/>
    </row>
    <row r="176" spans="8:24" x14ac:dyDescent="0.35">
      <c r="H176" s="671"/>
      <c r="I176" s="671"/>
      <c r="J176" s="671"/>
      <c r="K176" s="671"/>
      <c r="L176" s="671"/>
      <c r="M176" s="671"/>
      <c r="N176" s="671"/>
      <c r="O176" s="671"/>
      <c r="P176" s="671"/>
      <c r="Q176" s="671"/>
      <c r="R176" s="671"/>
      <c r="S176" s="671"/>
      <c r="T176" s="671"/>
      <c r="U176" s="671"/>
      <c r="V176" s="671"/>
      <c r="W176" s="671"/>
      <c r="X176" s="671"/>
    </row>
    <row r="177" spans="8:24" x14ac:dyDescent="0.35">
      <c r="H177" s="671"/>
      <c r="I177" s="671"/>
      <c r="J177" s="671"/>
      <c r="K177" s="671"/>
      <c r="L177" s="671"/>
      <c r="M177" s="671"/>
      <c r="N177" s="671"/>
      <c r="O177" s="671"/>
      <c r="P177" s="671"/>
      <c r="Q177" s="671"/>
      <c r="R177" s="671"/>
      <c r="S177" s="671"/>
      <c r="T177" s="671"/>
      <c r="U177" s="671"/>
      <c r="V177" s="671"/>
      <c r="W177" s="671"/>
      <c r="X177" s="671"/>
    </row>
    <row r="178" spans="8:24" x14ac:dyDescent="0.35">
      <c r="H178" s="671"/>
      <c r="I178" s="671"/>
      <c r="J178" s="671"/>
      <c r="K178" s="671"/>
      <c r="L178" s="671"/>
      <c r="M178" s="671"/>
      <c r="N178" s="671"/>
      <c r="O178" s="671"/>
      <c r="P178" s="671"/>
      <c r="Q178" s="671"/>
      <c r="R178" s="671"/>
      <c r="S178" s="671"/>
      <c r="T178" s="671"/>
      <c r="U178" s="671"/>
      <c r="V178" s="671"/>
      <c r="W178" s="671"/>
      <c r="X178" s="671"/>
    </row>
    <row r="179" spans="8:24" x14ac:dyDescent="0.35">
      <c r="H179" s="671"/>
      <c r="I179" s="671"/>
      <c r="J179" s="671"/>
      <c r="K179" s="671"/>
      <c r="L179" s="671"/>
      <c r="M179" s="671"/>
      <c r="N179" s="671"/>
      <c r="O179" s="671"/>
      <c r="P179" s="671"/>
      <c r="Q179" s="671"/>
      <c r="R179" s="671"/>
      <c r="S179" s="671"/>
      <c r="T179" s="671"/>
      <c r="U179" s="671"/>
      <c r="V179" s="671"/>
      <c r="W179" s="671"/>
      <c r="X179" s="671"/>
    </row>
    <row r="180" spans="8:24" x14ac:dyDescent="0.35">
      <c r="H180" s="671"/>
      <c r="I180" s="671"/>
      <c r="J180" s="671"/>
      <c r="K180" s="671"/>
      <c r="L180" s="671"/>
      <c r="M180" s="671"/>
      <c r="N180" s="671"/>
      <c r="O180" s="671"/>
      <c r="P180" s="671"/>
      <c r="Q180" s="671"/>
      <c r="R180" s="671"/>
      <c r="S180" s="671"/>
      <c r="T180" s="671"/>
      <c r="U180" s="671"/>
      <c r="V180" s="671"/>
      <c r="W180" s="671"/>
      <c r="X180" s="671"/>
    </row>
    <row r="181" spans="8:24" x14ac:dyDescent="0.35">
      <c r="H181" s="671"/>
      <c r="I181" s="671"/>
      <c r="J181" s="671"/>
      <c r="K181" s="671"/>
      <c r="L181" s="671"/>
      <c r="M181" s="671"/>
      <c r="N181" s="671"/>
      <c r="O181" s="671"/>
      <c r="P181" s="671"/>
      <c r="Q181" s="671"/>
      <c r="R181" s="671"/>
      <c r="S181" s="671"/>
      <c r="T181" s="671"/>
      <c r="U181" s="671"/>
      <c r="V181" s="671"/>
      <c r="W181" s="671"/>
      <c r="X181" s="671"/>
    </row>
    <row r="182" spans="8:24" x14ac:dyDescent="0.35">
      <c r="H182" s="671"/>
      <c r="I182" s="671"/>
      <c r="J182" s="671"/>
      <c r="K182" s="671"/>
      <c r="L182" s="671"/>
      <c r="M182" s="671"/>
      <c r="N182" s="671"/>
      <c r="O182" s="671"/>
      <c r="P182" s="671"/>
      <c r="Q182" s="671"/>
      <c r="R182" s="671"/>
      <c r="S182" s="671"/>
      <c r="T182" s="671"/>
      <c r="U182" s="671"/>
      <c r="V182" s="671"/>
      <c r="W182" s="671"/>
      <c r="X182" s="671"/>
    </row>
    <row r="183" spans="8:24" x14ac:dyDescent="0.35">
      <c r="H183" s="671"/>
      <c r="I183" s="671"/>
      <c r="J183" s="671"/>
      <c r="K183" s="671"/>
      <c r="L183" s="671"/>
      <c r="M183" s="671"/>
      <c r="N183" s="671"/>
      <c r="O183" s="671"/>
      <c r="P183" s="671"/>
      <c r="Q183" s="671"/>
      <c r="R183" s="671"/>
      <c r="S183" s="671"/>
      <c r="T183" s="671"/>
      <c r="U183" s="671"/>
      <c r="V183" s="671"/>
      <c r="W183" s="671"/>
      <c r="X183" s="671"/>
    </row>
    <row r="184" spans="8:24" x14ac:dyDescent="0.35">
      <c r="H184" s="671"/>
      <c r="I184" s="671"/>
      <c r="J184" s="671"/>
      <c r="K184" s="671"/>
      <c r="L184" s="671"/>
      <c r="M184" s="671"/>
      <c r="N184" s="671"/>
      <c r="O184" s="671"/>
      <c r="P184" s="671"/>
      <c r="Q184" s="671"/>
      <c r="R184" s="671"/>
      <c r="S184" s="671"/>
      <c r="T184" s="671"/>
      <c r="U184" s="671"/>
      <c r="V184" s="671"/>
      <c r="W184" s="671"/>
      <c r="X184" s="671"/>
    </row>
    <row r="185" spans="8:24" x14ac:dyDescent="0.35">
      <c r="H185" s="671"/>
      <c r="I185" s="671"/>
      <c r="J185" s="671"/>
      <c r="K185" s="671"/>
      <c r="L185" s="671"/>
      <c r="M185" s="671"/>
      <c r="N185" s="671"/>
      <c r="O185" s="671"/>
      <c r="P185" s="671"/>
      <c r="Q185" s="671"/>
      <c r="R185" s="671"/>
      <c r="S185" s="671"/>
      <c r="T185" s="671"/>
      <c r="U185" s="671"/>
      <c r="V185" s="671"/>
      <c r="W185" s="671"/>
      <c r="X185" s="671"/>
    </row>
    <row r="186" spans="8:24" x14ac:dyDescent="0.35">
      <c r="H186" s="671"/>
      <c r="I186" s="671"/>
      <c r="J186" s="671"/>
      <c r="K186" s="671"/>
      <c r="L186" s="671"/>
      <c r="M186" s="671"/>
      <c r="N186" s="671"/>
      <c r="O186" s="671"/>
      <c r="P186" s="671"/>
      <c r="Q186" s="671"/>
      <c r="R186" s="671"/>
      <c r="S186" s="671"/>
      <c r="T186" s="671"/>
      <c r="U186" s="671"/>
      <c r="V186" s="671"/>
      <c r="W186" s="671"/>
      <c r="X186" s="671"/>
    </row>
    <row r="187" spans="8:24" x14ac:dyDescent="0.35">
      <c r="H187" s="671"/>
      <c r="I187" s="671"/>
      <c r="J187" s="671"/>
      <c r="K187" s="671"/>
      <c r="L187" s="671"/>
      <c r="M187" s="671"/>
      <c r="N187" s="671"/>
      <c r="O187" s="671"/>
      <c r="P187" s="671"/>
      <c r="Q187" s="671"/>
      <c r="R187" s="671"/>
      <c r="S187" s="671"/>
      <c r="T187" s="671"/>
      <c r="U187" s="671"/>
      <c r="V187" s="671"/>
      <c r="W187" s="671"/>
      <c r="X187" s="671"/>
    </row>
    <row r="188" spans="8:24" x14ac:dyDescent="0.35">
      <c r="H188" s="671"/>
      <c r="I188" s="671"/>
      <c r="J188" s="671"/>
      <c r="K188" s="671"/>
      <c r="L188" s="671"/>
      <c r="M188" s="671"/>
      <c r="N188" s="671"/>
      <c r="O188" s="671"/>
      <c r="P188" s="671"/>
      <c r="Q188" s="671"/>
      <c r="R188" s="671"/>
      <c r="S188" s="671"/>
      <c r="T188" s="671"/>
      <c r="U188" s="671"/>
      <c r="V188" s="671"/>
      <c r="W188" s="671"/>
      <c r="X188" s="671"/>
    </row>
    <row r="189" spans="8:24" x14ac:dyDescent="0.35">
      <c r="H189" s="671"/>
      <c r="I189" s="671"/>
      <c r="J189" s="671"/>
      <c r="K189" s="671"/>
      <c r="L189" s="671"/>
      <c r="M189" s="671"/>
      <c r="N189" s="671"/>
      <c r="O189" s="671"/>
      <c r="P189" s="671"/>
      <c r="Q189" s="671"/>
      <c r="R189" s="671"/>
      <c r="S189" s="671"/>
      <c r="T189" s="671"/>
      <c r="U189" s="671"/>
      <c r="V189" s="671"/>
      <c r="W189" s="671"/>
      <c r="X189" s="671"/>
    </row>
    <row r="190" spans="8:24" x14ac:dyDescent="0.35">
      <c r="H190" s="671"/>
      <c r="I190" s="671"/>
      <c r="J190" s="671"/>
      <c r="K190" s="671"/>
      <c r="L190" s="671"/>
      <c r="M190" s="671"/>
      <c r="N190" s="671"/>
      <c r="O190" s="671"/>
      <c r="P190" s="671"/>
      <c r="Q190" s="671"/>
      <c r="R190" s="671"/>
      <c r="S190" s="671"/>
      <c r="T190" s="671"/>
      <c r="U190" s="671"/>
      <c r="V190" s="671"/>
      <c r="W190" s="671"/>
      <c r="X190" s="671"/>
    </row>
    <row r="191" spans="8:24" x14ac:dyDescent="0.35">
      <c r="H191" s="671"/>
      <c r="I191" s="671"/>
      <c r="J191" s="671"/>
      <c r="K191" s="671"/>
      <c r="L191" s="671"/>
      <c r="M191" s="671"/>
      <c r="N191" s="671"/>
      <c r="O191" s="671"/>
      <c r="P191" s="671"/>
      <c r="Q191" s="671"/>
      <c r="R191" s="671"/>
      <c r="S191" s="671"/>
      <c r="T191" s="671"/>
      <c r="U191" s="671"/>
      <c r="V191" s="671"/>
      <c r="W191" s="671"/>
      <c r="X191" s="671"/>
    </row>
    <row r="192" spans="8:24" x14ac:dyDescent="0.35">
      <c r="H192" s="671"/>
      <c r="I192" s="671"/>
      <c r="J192" s="671"/>
      <c r="K192" s="671"/>
      <c r="L192" s="671"/>
      <c r="M192" s="671"/>
      <c r="N192" s="671"/>
      <c r="O192" s="671"/>
      <c r="P192" s="671"/>
      <c r="Q192" s="671"/>
      <c r="R192" s="671"/>
      <c r="S192" s="671"/>
      <c r="T192" s="671"/>
      <c r="U192" s="671"/>
      <c r="V192" s="671"/>
      <c r="W192" s="671"/>
      <c r="X192" s="671"/>
    </row>
    <row r="193" spans="8:24" x14ac:dyDescent="0.35">
      <c r="H193" s="671"/>
      <c r="I193" s="671"/>
      <c r="J193" s="671"/>
      <c r="K193" s="671"/>
      <c r="L193" s="671"/>
      <c r="M193" s="671"/>
      <c r="N193" s="671"/>
      <c r="O193" s="671"/>
      <c r="P193" s="671"/>
      <c r="Q193" s="671"/>
      <c r="R193" s="671"/>
      <c r="S193" s="671"/>
      <c r="T193" s="671"/>
      <c r="U193" s="671"/>
      <c r="V193" s="671"/>
      <c r="W193" s="671"/>
      <c r="X193" s="671"/>
    </row>
    <row r="194" spans="8:24" x14ac:dyDescent="0.35">
      <c r="H194" s="671"/>
      <c r="I194" s="671"/>
      <c r="J194" s="671"/>
      <c r="K194" s="671"/>
      <c r="L194" s="671"/>
      <c r="M194" s="671"/>
      <c r="N194" s="671"/>
      <c r="O194" s="671"/>
      <c r="P194" s="671"/>
      <c r="Q194" s="671"/>
      <c r="R194" s="671"/>
      <c r="S194" s="671"/>
      <c r="T194" s="671"/>
      <c r="U194" s="671"/>
      <c r="V194" s="671"/>
      <c r="W194" s="671"/>
      <c r="X194" s="671"/>
    </row>
    <row r="195" spans="8:24" x14ac:dyDescent="0.35">
      <c r="H195" s="671"/>
      <c r="I195" s="671"/>
      <c r="J195" s="671"/>
      <c r="K195" s="671"/>
      <c r="L195" s="671"/>
      <c r="M195" s="671"/>
      <c r="N195" s="671"/>
      <c r="O195" s="671"/>
      <c r="P195" s="671"/>
      <c r="Q195" s="671"/>
      <c r="R195" s="671"/>
      <c r="S195" s="671"/>
      <c r="T195" s="671"/>
      <c r="U195" s="671"/>
      <c r="V195" s="671"/>
      <c r="W195" s="671"/>
      <c r="X195" s="671"/>
    </row>
    <row r="196" spans="8:24" x14ac:dyDescent="0.35">
      <c r="H196" s="671"/>
      <c r="I196" s="671"/>
      <c r="J196" s="671"/>
      <c r="K196" s="671"/>
      <c r="L196" s="671"/>
      <c r="M196" s="671"/>
      <c r="N196" s="671"/>
      <c r="O196" s="671"/>
      <c r="P196" s="671"/>
      <c r="Q196" s="671"/>
      <c r="R196" s="671"/>
      <c r="S196" s="671"/>
      <c r="T196" s="671"/>
      <c r="U196" s="671"/>
      <c r="V196" s="671"/>
      <c r="W196" s="671"/>
      <c r="X196" s="671"/>
    </row>
    <row r="197" spans="8:24" x14ac:dyDescent="0.35">
      <c r="H197" s="671"/>
      <c r="I197" s="671"/>
      <c r="J197" s="671"/>
      <c r="K197" s="671"/>
      <c r="L197" s="671"/>
      <c r="M197" s="671"/>
      <c r="N197" s="671"/>
      <c r="O197" s="671"/>
      <c r="P197" s="671"/>
      <c r="Q197" s="671"/>
      <c r="R197" s="671"/>
      <c r="S197" s="671"/>
      <c r="T197" s="671"/>
      <c r="U197" s="671"/>
      <c r="V197" s="671"/>
      <c r="W197" s="671"/>
      <c r="X197" s="671"/>
    </row>
    <row r="198" spans="8:24" x14ac:dyDescent="0.35">
      <c r="H198" s="671"/>
      <c r="I198" s="671"/>
      <c r="J198" s="671"/>
      <c r="K198" s="671"/>
      <c r="L198" s="671"/>
      <c r="M198" s="671"/>
      <c r="N198" s="671"/>
      <c r="O198" s="671"/>
      <c r="P198" s="671"/>
      <c r="Q198" s="671"/>
      <c r="R198" s="671"/>
      <c r="S198" s="671"/>
      <c r="T198" s="671"/>
      <c r="U198" s="671"/>
      <c r="V198" s="671"/>
      <c r="W198" s="671"/>
      <c r="X198" s="671"/>
    </row>
    <row r="199" spans="8:24" x14ac:dyDescent="0.35">
      <c r="H199" s="671"/>
      <c r="I199" s="671"/>
      <c r="J199" s="671"/>
      <c r="K199" s="671"/>
      <c r="L199" s="671"/>
      <c r="M199" s="671"/>
      <c r="N199" s="671"/>
      <c r="O199" s="671"/>
      <c r="P199" s="671"/>
      <c r="Q199" s="671"/>
      <c r="R199" s="671"/>
      <c r="S199" s="671"/>
      <c r="T199" s="671"/>
      <c r="U199" s="671"/>
      <c r="V199" s="671"/>
      <c r="W199" s="671"/>
      <c r="X199" s="671"/>
    </row>
    <row r="200" spans="8:24" x14ac:dyDescent="0.35">
      <c r="H200" s="671"/>
      <c r="I200" s="671"/>
      <c r="J200" s="671"/>
      <c r="K200" s="671"/>
      <c r="L200" s="671"/>
      <c r="M200" s="671"/>
      <c r="N200" s="671"/>
      <c r="O200" s="671"/>
      <c r="P200" s="671"/>
      <c r="Q200" s="671"/>
      <c r="R200" s="671"/>
      <c r="S200" s="671"/>
      <c r="T200" s="671"/>
      <c r="U200" s="671"/>
      <c r="V200" s="671"/>
      <c r="W200" s="671"/>
      <c r="X200" s="671"/>
    </row>
    <row r="201" spans="8:24" x14ac:dyDescent="0.35">
      <c r="H201" s="671"/>
      <c r="I201" s="671"/>
      <c r="J201" s="671"/>
      <c r="K201" s="671"/>
      <c r="L201" s="671"/>
      <c r="M201" s="671"/>
      <c r="N201" s="671"/>
      <c r="O201" s="671"/>
      <c r="P201" s="671"/>
      <c r="Q201" s="671"/>
      <c r="R201" s="671"/>
      <c r="S201" s="671"/>
      <c r="T201" s="671"/>
      <c r="U201" s="671"/>
      <c r="V201" s="671"/>
      <c r="W201" s="671"/>
      <c r="X201" s="671"/>
    </row>
    <row r="202" spans="8:24" x14ac:dyDescent="0.35">
      <c r="H202" s="671"/>
      <c r="I202" s="671"/>
      <c r="J202" s="671"/>
      <c r="K202" s="671"/>
      <c r="L202" s="671"/>
      <c r="M202" s="671"/>
      <c r="N202" s="671"/>
      <c r="O202" s="671"/>
      <c r="P202" s="671"/>
      <c r="Q202" s="671"/>
      <c r="R202" s="671"/>
      <c r="S202" s="671"/>
      <c r="T202" s="671"/>
      <c r="U202" s="671"/>
      <c r="V202" s="671"/>
      <c r="W202" s="671"/>
      <c r="X202" s="671"/>
    </row>
    <row r="203" spans="8:24" x14ac:dyDescent="0.35">
      <c r="H203" s="671"/>
      <c r="I203" s="671"/>
      <c r="J203" s="671"/>
      <c r="K203" s="671"/>
      <c r="L203" s="671"/>
      <c r="M203" s="671"/>
      <c r="N203" s="671"/>
      <c r="O203" s="671"/>
      <c r="P203" s="671"/>
      <c r="Q203" s="671"/>
      <c r="R203" s="671"/>
      <c r="S203" s="671"/>
      <c r="T203" s="671"/>
      <c r="U203" s="671"/>
      <c r="V203" s="671"/>
      <c r="W203" s="671"/>
      <c r="X203" s="671"/>
    </row>
    <row r="204" spans="8:24" x14ac:dyDescent="0.35">
      <c r="H204" s="671"/>
      <c r="I204" s="671"/>
      <c r="J204" s="671"/>
      <c r="K204" s="671"/>
      <c r="L204" s="671"/>
      <c r="M204" s="671"/>
      <c r="N204" s="671"/>
      <c r="O204" s="671"/>
      <c r="P204" s="671"/>
      <c r="Q204" s="671"/>
      <c r="R204" s="671"/>
      <c r="S204" s="671"/>
      <c r="T204" s="671"/>
      <c r="U204" s="671"/>
      <c r="V204" s="671"/>
      <c r="W204" s="671"/>
      <c r="X204" s="671"/>
    </row>
    <row r="205" spans="8:24" x14ac:dyDescent="0.35">
      <c r="H205" s="671"/>
      <c r="I205" s="671"/>
      <c r="J205" s="671"/>
      <c r="K205" s="671"/>
      <c r="L205" s="671"/>
      <c r="M205" s="671"/>
      <c r="N205" s="671"/>
      <c r="O205" s="671"/>
      <c r="P205" s="671"/>
      <c r="Q205" s="671"/>
      <c r="R205" s="671"/>
      <c r="S205" s="671"/>
      <c r="T205" s="671"/>
      <c r="U205" s="671"/>
      <c r="V205" s="671"/>
      <c r="W205" s="671"/>
      <c r="X205" s="671"/>
    </row>
    <row r="206" spans="8:24" x14ac:dyDescent="0.35">
      <c r="H206" s="671"/>
      <c r="I206" s="671"/>
      <c r="J206" s="671"/>
      <c r="K206" s="671"/>
      <c r="L206" s="671"/>
      <c r="M206" s="671"/>
      <c r="N206" s="671"/>
      <c r="O206" s="671"/>
      <c r="P206" s="671"/>
      <c r="Q206" s="671"/>
      <c r="R206" s="671"/>
      <c r="S206" s="671"/>
      <c r="T206" s="671"/>
      <c r="U206" s="671"/>
      <c r="V206" s="671"/>
      <c r="W206" s="671"/>
      <c r="X206" s="671"/>
    </row>
    <row r="207" spans="8:24" x14ac:dyDescent="0.35">
      <c r="H207" s="671"/>
      <c r="I207" s="671"/>
      <c r="J207" s="671"/>
      <c r="K207" s="671"/>
      <c r="L207" s="671"/>
      <c r="M207" s="671"/>
      <c r="N207" s="671"/>
      <c r="O207" s="671"/>
      <c r="P207" s="671"/>
      <c r="Q207" s="671"/>
      <c r="R207" s="671"/>
      <c r="S207" s="671"/>
      <c r="T207" s="671"/>
      <c r="U207" s="671"/>
      <c r="V207" s="671"/>
      <c r="W207" s="671"/>
      <c r="X207" s="671"/>
    </row>
    <row r="208" spans="8:24" x14ac:dyDescent="0.35">
      <c r="H208" s="671"/>
      <c r="I208" s="671"/>
      <c r="J208" s="671"/>
      <c r="K208" s="671"/>
      <c r="L208" s="671"/>
      <c r="M208" s="671"/>
      <c r="N208" s="671"/>
      <c r="O208" s="671"/>
      <c r="P208" s="671"/>
      <c r="Q208" s="671"/>
      <c r="R208" s="671"/>
      <c r="S208" s="671"/>
      <c r="T208" s="671"/>
      <c r="U208" s="671"/>
      <c r="V208" s="671"/>
      <c r="W208" s="671"/>
      <c r="X208" s="671"/>
    </row>
    <row r="209" spans="8:24" x14ac:dyDescent="0.35">
      <c r="H209" s="671"/>
      <c r="I209" s="671"/>
      <c r="J209" s="671"/>
      <c r="K209" s="671"/>
      <c r="L209" s="671"/>
      <c r="M209" s="671"/>
      <c r="N209" s="671"/>
      <c r="O209" s="671"/>
      <c r="P209" s="671"/>
      <c r="Q209" s="671"/>
      <c r="R209" s="671"/>
      <c r="S209" s="671"/>
      <c r="T209" s="671"/>
      <c r="U209" s="671"/>
      <c r="V209" s="671"/>
      <c r="W209" s="671"/>
      <c r="X209" s="671"/>
    </row>
    <row r="210" spans="8:24" x14ac:dyDescent="0.35">
      <c r="H210" s="671"/>
      <c r="I210" s="671"/>
      <c r="J210" s="671"/>
      <c r="K210" s="671"/>
      <c r="L210" s="671"/>
      <c r="M210" s="671"/>
      <c r="N210" s="671"/>
      <c r="O210" s="671"/>
      <c r="P210" s="671"/>
      <c r="Q210" s="671"/>
      <c r="R210" s="671"/>
      <c r="S210" s="671"/>
      <c r="T210" s="671"/>
      <c r="U210" s="671"/>
      <c r="V210" s="671"/>
      <c r="W210" s="671"/>
      <c r="X210" s="671"/>
    </row>
    <row r="211" spans="8:24" x14ac:dyDescent="0.35">
      <c r="H211" s="671"/>
      <c r="I211" s="671"/>
      <c r="J211" s="671"/>
      <c r="K211" s="671"/>
      <c r="L211" s="671"/>
      <c r="M211" s="671"/>
      <c r="N211" s="671"/>
      <c r="O211" s="671"/>
      <c r="P211" s="671"/>
      <c r="Q211" s="671"/>
      <c r="R211" s="671"/>
      <c r="S211" s="671"/>
      <c r="T211" s="671"/>
      <c r="U211" s="671"/>
      <c r="V211" s="671"/>
      <c r="W211" s="671"/>
      <c r="X211" s="671"/>
    </row>
    <row r="212" spans="8:24" x14ac:dyDescent="0.35">
      <c r="H212" s="671"/>
      <c r="I212" s="671"/>
      <c r="J212" s="671"/>
      <c r="K212" s="671"/>
      <c r="L212" s="671"/>
      <c r="M212" s="671"/>
      <c r="N212" s="671"/>
      <c r="O212" s="671"/>
      <c r="P212" s="671"/>
      <c r="Q212" s="671"/>
      <c r="R212" s="671"/>
      <c r="S212" s="671"/>
      <c r="T212" s="671"/>
      <c r="U212" s="671"/>
      <c r="V212" s="671"/>
      <c r="W212" s="671"/>
      <c r="X212" s="671"/>
    </row>
    <row r="213" spans="8:24" x14ac:dyDescent="0.35">
      <c r="H213" s="671"/>
      <c r="I213" s="671"/>
      <c r="J213" s="671"/>
      <c r="K213" s="671"/>
      <c r="L213" s="671"/>
      <c r="M213" s="671"/>
      <c r="N213" s="671"/>
      <c r="O213" s="671"/>
      <c r="P213" s="671"/>
      <c r="Q213" s="671"/>
      <c r="R213" s="671"/>
      <c r="S213" s="671"/>
      <c r="T213" s="671"/>
      <c r="U213" s="671"/>
      <c r="V213" s="671"/>
      <c r="W213" s="671"/>
      <c r="X213" s="671"/>
    </row>
    <row r="214" spans="8:24" x14ac:dyDescent="0.35">
      <c r="H214" s="671"/>
      <c r="I214" s="671"/>
      <c r="J214" s="671"/>
      <c r="K214" s="671"/>
      <c r="L214" s="671"/>
      <c r="M214" s="671"/>
      <c r="N214" s="671"/>
      <c r="O214" s="671"/>
      <c r="P214" s="671"/>
      <c r="Q214" s="671"/>
      <c r="R214" s="671"/>
      <c r="S214" s="671"/>
      <c r="T214" s="671"/>
      <c r="U214" s="671"/>
      <c r="V214" s="671"/>
      <c r="W214" s="671"/>
      <c r="X214" s="671"/>
    </row>
    <row r="215" spans="8:24" x14ac:dyDescent="0.35">
      <c r="H215" s="671"/>
      <c r="I215" s="671"/>
      <c r="J215" s="671"/>
      <c r="K215" s="671"/>
      <c r="L215" s="671"/>
      <c r="M215" s="671"/>
      <c r="N215" s="671"/>
      <c r="O215" s="671"/>
      <c r="P215" s="671"/>
      <c r="Q215" s="671"/>
      <c r="R215" s="671"/>
      <c r="S215" s="671"/>
      <c r="T215" s="671"/>
      <c r="U215" s="671"/>
      <c r="V215" s="671"/>
      <c r="W215" s="671"/>
      <c r="X215" s="671"/>
    </row>
    <row r="216" spans="8:24" x14ac:dyDescent="0.35">
      <c r="H216" s="671"/>
      <c r="I216" s="671"/>
      <c r="J216" s="671"/>
      <c r="K216" s="671"/>
      <c r="L216" s="671"/>
      <c r="M216" s="671"/>
      <c r="N216" s="671"/>
      <c r="O216" s="671"/>
      <c r="P216" s="671"/>
      <c r="Q216" s="671"/>
      <c r="R216" s="671"/>
      <c r="S216" s="671"/>
      <c r="T216" s="671"/>
      <c r="U216" s="671"/>
      <c r="V216" s="671"/>
      <c r="W216" s="671"/>
      <c r="X216" s="671"/>
    </row>
    <row r="217" spans="8:24" x14ac:dyDescent="0.35">
      <c r="H217" s="671"/>
      <c r="I217" s="671"/>
      <c r="J217" s="671"/>
      <c r="K217" s="671"/>
      <c r="L217" s="671"/>
      <c r="M217" s="671"/>
      <c r="N217" s="671"/>
      <c r="O217" s="671"/>
      <c r="P217" s="671"/>
      <c r="Q217" s="671"/>
      <c r="R217" s="671"/>
      <c r="S217" s="671"/>
      <c r="T217" s="671"/>
      <c r="U217" s="671"/>
      <c r="V217" s="671"/>
      <c r="W217" s="671"/>
      <c r="X217" s="671"/>
    </row>
    <row r="218" spans="8:24" x14ac:dyDescent="0.35">
      <c r="H218" s="671"/>
      <c r="I218" s="671"/>
      <c r="J218" s="671"/>
      <c r="K218" s="671"/>
      <c r="L218" s="671"/>
      <c r="M218" s="671"/>
      <c r="N218" s="671"/>
      <c r="O218" s="671"/>
      <c r="P218" s="671"/>
      <c r="Q218" s="671"/>
      <c r="R218" s="671"/>
      <c r="S218" s="671"/>
      <c r="T218" s="671"/>
      <c r="U218" s="671"/>
      <c r="V218" s="671"/>
      <c r="W218" s="671"/>
      <c r="X218" s="671"/>
    </row>
    <row r="219" spans="8:24" x14ac:dyDescent="0.35">
      <c r="H219" s="671"/>
      <c r="I219" s="671"/>
      <c r="J219" s="671"/>
      <c r="K219" s="671"/>
      <c r="L219" s="671"/>
      <c r="M219" s="671"/>
      <c r="N219" s="671"/>
      <c r="O219" s="671"/>
      <c r="P219" s="671"/>
      <c r="Q219" s="671"/>
      <c r="R219" s="671"/>
      <c r="S219" s="671"/>
      <c r="T219" s="671"/>
      <c r="U219" s="671"/>
      <c r="V219" s="671"/>
      <c r="W219" s="671"/>
      <c r="X219" s="671"/>
    </row>
    <row r="220" spans="8:24" x14ac:dyDescent="0.35">
      <c r="H220" s="671"/>
      <c r="I220" s="671"/>
      <c r="J220" s="671"/>
      <c r="K220" s="671"/>
      <c r="L220" s="671"/>
      <c r="M220" s="671"/>
      <c r="N220" s="671"/>
      <c r="O220" s="671"/>
      <c r="P220" s="671"/>
      <c r="Q220" s="671"/>
      <c r="R220" s="671"/>
      <c r="S220" s="671"/>
      <c r="T220" s="671"/>
      <c r="U220" s="671"/>
      <c r="V220" s="671"/>
      <c r="W220" s="671"/>
      <c r="X220" s="671"/>
    </row>
    <row r="221" spans="8:24" x14ac:dyDescent="0.35">
      <c r="H221" s="671"/>
      <c r="I221" s="671"/>
      <c r="J221" s="671"/>
      <c r="K221" s="671"/>
      <c r="L221" s="671"/>
      <c r="M221" s="671"/>
      <c r="N221" s="671"/>
      <c r="O221" s="671"/>
      <c r="P221" s="671"/>
      <c r="Q221" s="671"/>
      <c r="R221" s="671"/>
      <c r="S221" s="671"/>
      <c r="T221" s="671"/>
      <c r="U221" s="671"/>
      <c r="V221" s="671"/>
      <c r="W221" s="671"/>
      <c r="X221" s="671"/>
    </row>
    <row r="222" spans="8:24" x14ac:dyDescent="0.35">
      <c r="H222" s="671"/>
      <c r="I222" s="671"/>
      <c r="J222" s="671"/>
      <c r="K222" s="671"/>
      <c r="L222" s="671"/>
      <c r="M222" s="671"/>
      <c r="N222" s="671"/>
      <c r="O222" s="671"/>
      <c r="P222" s="671"/>
      <c r="Q222" s="671"/>
      <c r="R222" s="671"/>
      <c r="S222" s="671"/>
      <c r="T222" s="671"/>
      <c r="U222" s="671"/>
      <c r="V222" s="671"/>
      <c r="W222" s="671"/>
      <c r="X222" s="671"/>
    </row>
    <row r="223" spans="8:24" x14ac:dyDescent="0.35">
      <c r="H223" s="671"/>
      <c r="I223" s="671"/>
      <c r="J223" s="671"/>
      <c r="K223" s="671"/>
      <c r="L223" s="671"/>
      <c r="M223" s="671"/>
      <c r="N223" s="671"/>
      <c r="O223" s="671"/>
      <c r="P223" s="671"/>
      <c r="Q223" s="671"/>
      <c r="R223" s="671"/>
      <c r="S223" s="671"/>
      <c r="T223" s="671"/>
      <c r="U223" s="671"/>
      <c r="V223" s="671"/>
      <c r="W223" s="671"/>
      <c r="X223" s="671"/>
    </row>
    <row r="224" spans="8:24" x14ac:dyDescent="0.35">
      <c r="H224" s="671"/>
      <c r="I224" s="671"/>
      <c r="J224" s="671"/>
      <c r="K224" s="671"/>
      <c r="L224" s="671"/>
      <c r="M224" s="671"/>
      <c r="N224" s="671"/>
      <c r="O224" s="671"/>
      <c r="P224" s="671"/>
      <c r="Q224" s="671"/>
      <c r="R224" s="671"/>
      <c r="S224" s="671"/>
      <c r="T224" s="671"/>
      <c r="U224" s="671"/>
      <c r="V224" s="671"/>
      <c r="W224" s="671"/>
      <c r="X224" s="671"/>
    </row>
    <row r="225" spans="8:24" x14ac:dyDescent="0.35">
      <c r="H225" s="671"/>
      <c r="I225" s="671"/>
      <c r="J225" s="671"/>
      <c r="K225" s="671"/>
      <c r="L225" s="671"/>
      <c r="M225" s="671"/>
      <c r="N225" s="671"/>
      <c r="O225" s="671"/>
      <c r="P225" s="671"/>
      <c r="Q225" s="671"/>
      <c r="R225" s="671"/>
      <c r="S225" s="671"/>
      <c r="T225" s="671"/>
      <c r="U225" s="671"/>
      <c r="V225" s="671"/>
      <c r="W225" s="671"/>
      <c r="X225" s="671"/>
    </row>
    <row r="226" spans="8:24" x14ac:dyDescent="0.35">
      <c r="H226" s="671"/>
      <c r="I226" s="671"/>
      <c r="J226" s="671"/>
      <c r="K226" s="671"/>
      <c r="L226" s="671"/>
      <c r="M226" s="671"/>
      <c r="N226" s="671"/>
      <c r="O226" s="671"/>
      <c r="P226" s="671"/>
      <c r="Q226" s="671"/>
      <c r="R226" s="671"/>
      <c r="S226" s="671"/>
      <c r="T226" s="671"/>
      <c r="U226" s="671"/>
      <c r="V226" s="671"/>
      <c r="W226" s="671"/>
      <c r="X226" s="671"/>
    </row>
    <row r="227" spans="8:24" x14ac:dyDescent="0.35">
      <c r="H227" s="671"/>
      <c r="I227" s="671"/>
      <c r="J227" s="671"/>
      <c r="K227" s="671"/>
      <c r="L227" s="671"/>
      <c r="M227" s="671"/>
      <c r="N227" s="671"/>
      <c r="O227" s="671"/>
      <c r="P227" s="671"/>
      <c r="Q227" s="671"/>
      <c r="R227" s="671"/>
      <c r="S227" s="671"/>
      <c r="T227" s="671"/>
      <c r="U227" s="671"/>
      <c r="V227" s="671"/>
      <c r="W227" s="671"/>
      <c r="X227" s="671"/>
    </row>
    <row r="228" spans="8:24" x14ac:dyDescent="0.35">
      <c r="H228" s="671"/>
      <c r="I228" s="671"/>
      <c r="J228" s="671"/>
      <c r="K228" s="671"/>
      <c r="L228" s="671"/>
      <c r="M228" s="671"/>
      <c r="N228" s="671"/>
      <c r="O228" s="671"/>
      <c r="P228" s="671"/>
      <c r="Q228" s="671"/>
      <c r="R228" s="671"/>
      <c r="S228" s="671"/>
      <c r="T228" s="671"/>
      <c r="U228" s="671"/>
      <c r="V228" s="671"/>
      <c r="W228" s="671"/>
      <c r="X228" s="671"/>
    </row>
    <row r="229" spans="8:24" x14ac:dyDescent="0.35">
      <c r="H229" s="671"/>
      <c r="I229" s="671"/>
      <c r="J229" s="671"/>
      <c r="K229" s="671"/>
      <c r="L229" s="671"/>
      <c r="M229" s="671"/>
      <c r="N229" s="671"/>
      <c r="O229" s="671"/>
      <c r="P229" s="671"/>
      <c r="Q229" s="671"/>
      <c r="R229" s="671"/>
      <c r="S229" s="671"/>
      <c r="T229" s="671"/>
      <c r="U229" s="671"/>
      <c r="V229" s="671"/>
      <c r="W229" s="671"/>
      <c r="X229" s="671"/>
    </row>
    <row r="230" spans="8:24" x14ac:dyDescent="0.35">
      <c r="H230" s="671"/>
      <c r="I230" s="671"/>
      <c r="J230" s="671"/>
      <c r="K230" s="671"/>
      <c r="L230" s="671"/>
      <c r="M230" s="671"/>
      <c r="N230" s="671"/>
      <c r="O230" s="671"/>
      <c r="P230" s="671"/>
      <c r="Q230" s="671"/>
      <c r="R230" s="671"/>
      <c r="S230" s="671"/>
      <c r="T230" s="671"/>
      <c r="U230" s="671"/>
      <c r="V230" s="671"/>
      <c r="W230" s="671"/>
      <c r="X230" s="671"/>
    </row>
    <row r="231" spans="8:24" x14ac:dyDescent="0.35">
      <c r="H231" s="671"/>
      <c r="I231" s="671"/>
      <c r="J231" s="671"/>
      <c r="K231" s="671"/>
      <c r="L231" s="671"/>
      <c r="M231" s="671"/>
      <c r="N231" s="671"/>
      <c r="O231" s="671"/>
      <c r="P231" s="671"/>
      <c r="Q231" s="671"/>
      <c r="R231" s="671"/>
      <c r="S231" s="671"/>
      <c r="T231" s="671"/>
      <c r="U231" s="671"/>
      <c r="V231" s="671"/>
      <c r="W231" s="671"/>
      <c r="X231" s="671"/>
    </row>
    <row r="232" spans="8:24" x14ac:dyDescent="0.35">
      <c r="H232" s="671"/>
      <c r="I232" s="671"/>
      <c r="J232" s="671"/>
      <c r="K232" s="671"/>
      <c r="L232" s="671"/>
      <c r="M232" s="671"/>
      <c r="N232" s="671"/>
      <c r="O232" s="671"/>
      <c r="P232" s="671"/>
      <c r="Q232" s="671"/>
      <c r="R232" s="671"/>
      <c r="S232" s="671"/>
      <c r="T232" s="671"/>
      <c r="U232" s="671"/>
      <c r="V232" s="671"/>
      <c r="W232" s="671"/>
      <c r="X232" s="671"/>
    </row>
    <row r="233" spans="8:24" x14ac:dyDescent="0.35">
      <c r="H233" s="671"/>
      <c r="I233" s="671"/>
      <c r="J233" s="671"/>
      <c r="K233" s="671"/>
      <c r="L233" s="671"/>
      <c r="M233" s="671"/>
      <c r="N233" s="671"/>
      <c r="O233" s="671"/>
      <c r="P233" s="671"/>
      <c r="Q233" s="671"/>
      <c r="R233" s="671"/>
      <c r="S233" s="671"/>
      <c r="T233" s="671"/>
      <c r="U233" s="671"/>
      <c r="V233" s="671"/>
      <c r="W233" s="671"/>
      <c r="X233" s="671"/>
    </row>
    <row r="234" spans="8:24" x14ac:dyDescent="0.35">
      <c r="H234" s="671"/>
      <c r="I234" s="671"/>
      <c r="J234" s="671"/>
      <c r="K234" s="671"/>
      <c r="L234" s="671"/>
      <c r="M234" s="671"/>
      <c r="N234" s="671"/>
      <c r="O234" s="671"/>
      <c r="P234" s="671"/>
      <c r="Q234" s="671"/>
      <c r="R234" s="671"/>
      <c r="S234" s="671"/>
      <c r="T234" s="671"/>
      <c r="U234" s="671"/>
      <c r="V234" s="671"/>
      <c r="W234" s="671"/>
      <c r="X234" s="671"/>
    </row>
    <row r="235" spans="8:24" x14ac:dyDescent="0.35">
      <c r="H235" s="671"/>
      <c r="I235" s="671"/>
      <c r="J235" s="671"/>
      <c r="K235" s="671"/>
      <c r="L235" s="671"/>
      <c r="M235" s="671"/>
      <c r="N235" s="671"/>
      <c r="O235" s="671"/>
      <c r="P235" s="671"/>
      <c r="Q235" s="671"/>
      <c r="R235" s="671"/>
      <c r="S235" s="671"/>
      <c r="T235" s="671"/>
      <c r="U235" s="671"/>
      <c r="V235" s="671"/>
      <c r="W235" s="671"/>
      <c r="X235" s="671"/>
    </row>
    <row r="236" spans="8:24" x14ac:dyDescent="0.35">
      <c r="H236" s="671"/>
      <c r="I236" s="671"/>
      <c r="J236" s="671"/>
      <c r="K236" s="671"/>
      <c r="L236" s="671"/>
      <c r="M236" s="671"/>
      <c r="N236" s="671"/>
      <c r="O236" s="671"/>
      <c r="P236" s="671"/>
      <c r="Q236" s="671"/>
      <c r="R236" s="671"/>
      <c r="S236" s="671"/>
      <c r="T236" s="671"/>
      <c r="U236" s="671"/>
      <c r="V236" s="671"/>
      <c r="W236" s="671"/>
      <c r="X236" s="671"/>
    </row>
    <row r="237" spans="8:24" x14ac:dyDescent="0.35">
      <c r="H237" s="671"/>
      <c r="I237" s="671"/>
      <c r="J237" s="671"/>
      <c r="K237" s="671"/>
      <c r="L237" s="671"/>
      <c r="M237" s="671"/>
      <c r="N237" s="671"/>
      <c r="O237" s="671"/>
      <c r="P237" s="671"/>
      <c r="Q237" s="671"/>
      <c r="R237" s="671"/>
      <c r="S237" s="671"/>
      <c r="T237" s="671"/>
      <c r="U237" s="671"/>
      <c r="V237" s="671"/>
      <c r="W237" s="671"/>
      <c r="X237" s="671"/>
    </row>
    <row r="238" spans="8:24" x14ac:dyDescent="0.35">
      <c r="H238" s="671"/>
      <c r="I238" s="671"/>
      <c r="J238" s="671"/>
      <c r="K238" s="671"/>
      <c r="L238" s="671"/>
      <c r="M238" s="671"/>
      <c r="N238" s="671"/>
      <c r="O238" s="671"/>
      <c r="P238" s="671"/>
      <c r="Q238" s="671"/>
      <c r="R238" s="671"/>
      <c r="S238" s="671"/>
      <c r="T238" s="671"/>
      <c r="U238" s="671"/>
      <c r="V238" s="671"/>
      <c r="W238" s="671"/>
      <c r="X238" s="671"/>
    </row>
    <row r="239" spans="8:24" x14ac:dyDescent="0.35">
      <c r="H239" s="671"/>
      <c r="I239" s="671"/>
      <c r="J239" s="671"/>
      <c r="K239" s="671"/>
      <c r="L239" s="671"/>
      <c r="M239" s="671"/>
      <c r="N239" s="671"/>
      <c r="O239" s="671"/>
      <c r="P239" s="671"/>
      <c r="Q239" s="671"/>
      <c r="R239" s="671"/>
      <c r="S239" s="671"/>
      <c r="T239" s="671"/>
      <c r="U239" s="671"/>
      <c r="V239" s="671"/>
      <c r="W239" s="671"/>
      <c r="X239" s="671"/>
    </row>
  </sheetData>
  <mergeCells count="6">
    <mergeCell ref="C6:I6"/>
    <mergeCell ref="C7:I7"/>
    <mergeCell ref="C9:C11"/>
    <mergeCell ref="D9:H9"/>
    <mergeCell ref="I9:I11"/>
    <mergeCell ref="D11:H11"/>
  </mergeCells>
  <pageMargins left="0.70866141732283472" right="0.70866141732283472" top="0.74803149606299213" bottom="0.74803149606299213" header="0.31496062992125984" footer="0.31496062992125984"/>
  <pageSetup scale="93"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16</vt:i4>
      </vt:variant>
    </vt:vector>
  </HeadingPairs>
  <TitlesOfParts>
    <vt:vector size="45" baseType="lpstr">
      <vt:lpstr>Titu A</vt:lpstr>
      <vt:lpstr>Titu B</vt:lpstr>
      <vt:lpstr>Titu C</vt:lpstr>
      <vt:lpstr>Conyu A</vt:lpstr>
      <vt:lpstr>Conyu B</vt:lpstr>
      <vt:lpstr>Conyu C</vt:lpstr>
      <vt:lpstr>Depen A</vt:lpstr>
      <vt:lpstr>Depen B</vt:lpstr>
      <vt:lpstr>Depen C</vt:lpstr>
      <vt:lpstr>INTERMEDIARIO</vt:lpstr>
      <vt:lpstr>COTIZADOR</vt:lpstr>
      <vt:lpstr>OFERTA</vt:lpstr>
      <vt:lpstr>Condiciones</vt:lpstr>
      <vt:lpstr>ANEXO No.1</vt:lpstr>
      <vt:lpstr>ANEXO No.2</vt:lpstr>
      <vt:lpstr>SINTESIS</vt:lpstr>
      <vt:lpstr>SA2013</vt:lpstr>
      <vt:lpstr>SA2014</vt:lpstr>
      <vt:lpstr>SA2015</vt:lpstr>
      <vt:lpstr>SA2016</vt:lpstr>
      <vt:lpstr>SA2017</vt:lpstr>
      <vt:lpstr>PYS2013</vt:lpstr>
      <vt:lpstr>PYS2014</vt:lpstr>
      <vt:lpstr>PYS2015</vt:lpstr>
      <vt:lpstr>PYS2016</vt:lpstr>
      <vt:lpstr>PYS2017</vt:lpstr>
      <vt:lpstr>PV2013</vt:lpstr>
      <vt:lpstr>PV2014</vt:lpstr>
      <vt:lpstr>PV2015</vt:lpstr>
      <vt:lpstr>'ANEXO No.2'!Área_de_impresión</vt:lpstr>
      <vt:lpstr>'Conyu A'!Área_de_impresión</vt:lpstr>
      <vt:lpstr>'Conyu B'!Área_de_impresión</vt:lpstr>
      <vt:lpstr>'Conyu C'!Área_de_impresión</vt:lpstr>
      <vt:lpstr>'Depen A'!Área_de_impresión</vt:lpstr>
      <vt:lpstr>'Depen B'!Área_de_impresión</vt:lpstr>
      <vt:lpstr>'Depen C'!Área_de_impresión</vt:lpstr>
      <vt:lpstr>OFERTA!Área_de_impresión</vt:lpstr>
      <vt:lpstr>'Titu A'!Área_de_impresión</vt:lpstr>
      <vt:lpstr>'Titu B'!Área_de_impresión</vt:lpstr>
      <vt:lpstr>'Titu C'!Área_de_impresión</vt:lpstr>
      <vt:lpstr>'SA2013'!DatosExternos2</vt:lpstr>
      <vt:lpstr>'SA2014'!DatosExternos2</vt:lpstr>
      <vt:lpstr>'SA2015'!DatosExternos2</vt:lpstr>
      <vt:lpstr>'SA2016'!DatosExternos2</vt:lpstr>
      <vt:lpstr>'SA2017'!DatosExternos2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Luis Jose Noyola Palucha</cp:lastModifiedBy>
  <cp:lastPrinted>2022-12-27T21:23:53Z</cp:lastPrinted>
  <dcterms:created xsi:type="dcterms:W3CDTF">2016-08-29T17:09:29Z</dcterms:created>
  <dcterms:modified xsi:type="dcterms:W3CDTF">2023-01-06T22:42:40Z</dcterms:modified>
</cp:coreProperties>
</file>